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ФХД'!$H$92:$J$92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ФХД'!$93:$101</definedName>
    <definedName name="BLOCK_POK_FHD_COLDVSNA_P2">'Показатели ФХД'!$126:$130</definedName>
    <definedName name="BLOCK_POK_FHD_HEAT_ONLY_REG_ORG_P1">'Показатели ФХД'!$56:$57</definedName>
    <definedName name="BLOCK_POK_FHD_HEAT_ONLY_REG_ORG_P2">'Показатели ФХД'!$91:$142</definedName>
    <definedName name="BLOCK_POK_FHD_HEAT_P1">'Показатели ФХД'!$33:$40</definedName>
    <definedName name="BLOCK_POK_FHD_HEAT_P2">'Показатели ФХД'!$83:$83</definedName>
    <definedName name="BLOCK_POK_FHD_HEAT_P3">'Показатели ФХД'!$110:$122</definedName>
    <definedName name="BLOCK_POK_FHD_HEAT_P4">'Показатели ФХД'!$124:$124</definedName>
    <definedName name="BLOCK_POK_FHD_HEAT_P5">'Показатели ФХД'!$131:$141</definedName>
    <definedName name="BLOCK_POK_FHD_HEAT_P6">'Показатели ФХД'!$47:$47</definedName>
    <definedName name="BLOCK_POK_FHD_HOTVSNA_P1">'Показатели ФХД'!$41:$43</definedName>
    <definedName name="BLOCK_POK_FHD_HOTVSNA_P2">'Показатели ФХД'!$102:$106</definedName>
    <definedName name="BLOCK_POK_FHD_NOT_HEAT_P1">'Показатели ФХД'!$67:$68</definedName>
    <definedName name="BLOCK_POK_FHD_NOT_HEAT_P2">'Показатели ФХД'!$91:$91</definedName>
    <definedName name="BLOCK_POK_FHD_NOT_HOTVSNA">'Показатели ФХД'!$48:$48</definedName>
    <definedName name="BLOCK_POK_FHD_VOTV_P1">'Показатели ФХД'!$107:$109</definedName>
    <definedName name="BLOCK_POK_FHD_VSNA">'Показатели ФХД'!$125:$125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Детализация'!$A$97:$A$97</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ФХД'!$F$82</definedName>
    <definedName name="pIns_B_FHD_3">'Показатели ФХД'!$F$112</definedName>
    <definedName name="pIns_B_FHD_4">'Показатели ФХД'!$F$130</definedName>
    <definedName name="pIns_B_FHD_5">'Показатели ФХД'!$F$133</definedName>
    <definedName name="pIns_B_FHD_6">'Показатели ФХД'!$F$136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Детализация'!$F$97</definedName>
    <definedName name="pIns_IP_FIN_PLAN">'ИП. Финансовый план'!$T$8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Детализация'!$AH$97</definedName>
    <definedName name="tblEnd_1_IP_FIN_PLAN">'ИП. Финансовый план'!$T$58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ИП!#REF!</definedName>
    <definedName name="IP_QRE_ip_51">'ИП. КНЭ'!#REF!</definedName>
    <definedName name="IP_DETAILED_ip_51">'ИП. Детализация'!#REF!</definedName>
    <definedName name="IP_FIN_PLAN_ip_51">'ИП. Финансовый план'!#REF!</definedName>
    <definedName name="IP_MAIN_ip_511">ИП!$13:$14</definedName>
    <definedName name="IP_QRE_ip_511">'ИП. КНЭ'!$21:$23</definedName>
    <definedName name="IP_DETAILED_ip_511">'ИП. Детализация'!$14:$96</definedName>
    <definedName name="IP_FIN_PLAN_ip_511">'ИП. Финансовый план'!$K$11:$S$11</definedName>
    <definedName name="TEMP_LIST_KS">ИП!$AB$13</definedName>
    <definedName name="REESTR_IP_RANGE">REESTR_IP!$A$2:$I$13</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<sst xmlns="http://schemas.openxmlformats.org/spreadsheetml/2006/main" count="24916" uniqueCount="5569">
  <si>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</si>
  <si>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</si>
  <si>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</si>
  <si>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</si>
  <si>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</si>
  <si>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</si>
  <si>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</si>
  <si>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</si>
  <si>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</si>
  <si>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</si>
  <si>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</si>
  <si>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</si>
  <si>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</si>
  <si>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27975987</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</si>
  <si>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</si>
  <si>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</si>
  <si>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</si>
  <si>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</si>
  <si>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</si>
  <si>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</si>
  <si>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</si>
  <si>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</si>
  <si>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</si>
  <si>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</si>
  <si>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</si>
  <si>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</si>
  <si>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</si>
  <si>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</si>
  <si>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</si>
  <si>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</si>
  <si>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</si>
  <si>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</si>
  <si>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</si>
  <si>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</si>
  <si>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</si>
  <si>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</si>
  <si>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</si>
  <si>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</si>
  <si>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</si>
  <si>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</si>
  <si>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</si>
  <si>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</si>
  <si>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</si>
  <si>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</si>
  <si>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</si>
  <si>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</si>
  <si>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Общество с ограниченной ответственностью "Сигнал", г. Серов</t>
  </si>
  <si>
    <t>Наименование (описание) обособленного подразделения</t>
  </si>
  <si>
    <t>ИНН</t>
  </si>
  <si>
    <t>6680000038</t>
  </si>
  <si>
    <t>КПП</t>
  </si>
  <si>
    <t>668001001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</si>
  <si>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</si>
  <si>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</si>
  <si>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</si>
  <si>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</si>
  <si>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</si>
  <si>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</si>
  <si>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</si>
  <si>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</si>
  <si>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</si>
  <si>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</si>
  <si>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</si>
  <si>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</si>
  <si>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</si>
  <si>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</si>
  <si>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</si>
  <si>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</si>
  <si>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</si>
  <si>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</si>
  <si>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г.Серов ул. Вагранская,56</t>
  </si>
  <si>
    <t>Фамилия, имя, отчество руководителя</t>
  </si>
  <si>
    <t>Т.Г. Даутов</t>
  </si>
  <si>
    <t>Ответственный за заполнение формы</t>
  </si>
  <si>
    <t>Фамилия, имя, отчество</t>
  </si>
  <si>
    <t>Русских Н.С.</t>
  </si>
  <si>
    <t>Должность</t>
  </si>
  <si>
    <t>экономист</t>
  </si>
  <si>
    <t>Контактный телефон</t>
  </si>
  <si>
    <t>(34385)30060</t>
  </si>
  <si>
    <t>E-mail</t>
  </si>
  <si>
    <t>signal-ooo@mail.ru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</si>
  <si>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</si>
  <si>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</si>
  <si>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</si>
  <si>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</si>
  <si>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</si>
  <si>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</si>
  <si>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</si>
  <si>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</si>
  <si>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</si>
  <si>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</si>
  <si>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</si>
  <si>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</si>
  <si>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</si>
  <si>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</si>
  <si>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</si>
  <si>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</si>
  <si>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</si>
  <si>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</si>
  <si>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Серовский</t>
  </si>
  <si>
    <t>65549000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</si>
  <si>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</si>
  <si>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</si>
  <si>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</si>
  <si>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</si>
  <si>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</si>
  <si>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</si>
  <si>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</si>
  <si>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</si>
  <si>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</si>
  <si>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</si>
  <si>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</si>
  <si>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</si>
  <si>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</si>
  <si>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</si>
  <si>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</si>
  <si>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</si>
  <si>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</si>
  <si>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</si>
  <si>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</si>
  <si>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</si>
  <si>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</si>
  <si>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</si>
  <si>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</si>
  <si>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</si>
  <si>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</si>
  <si>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</si>
  <si>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</si>
  <si>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</si>
  <si>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</si>
  <si>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</si>
  <si>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</si>
  <si>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</si>
  <si>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</si>
  <si>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</si>
  <si>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</si>
  <si>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</si>
  <si>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</si>
  <si>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</si>
  <si>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</si>
  <si>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</si>
  <si>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</si>
  <si>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</si>
  <si>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</si>
  <si>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</si>
  <si>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</si>
  <si>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</si>
  <si>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</si>
  <si>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</si>
  <si>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</si>
  <si>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</si>
  <si>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</si>
  <si>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</si>
  <si>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</si>
  <si>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</si>
  <si>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</si>
  <si>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</si>
  <si>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</si>
  <si>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</si>
  <si>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</si>
  <si>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</si>
  <si>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</si>
  <si>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</si>
  <si>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</si>
  <si>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</si>
  <si>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</si>
  <si>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</si>
  <si>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</si>
  <si>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</si>
  <si>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</si>
  <si>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</si>
  <si>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</si>
  <si>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</si>
  <si>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</si>
  <si>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</si>
  <si>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</si>
  <si>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</si>
  <si>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</si>
  <si>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</si>
  <si>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</si>
  <si>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</si>
  <si>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</si>
  <si>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</si>
  <si>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</si>
  <si>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</si>
  <si>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</si>
  <si>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</si>
  <si>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</si>
  <si>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</si>
  <si>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</si>
  <si>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</si>
  <si>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</si>
  <si>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</si>
  <si>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</si>
  <si>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</si>
  <si>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</si>
  <si>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</si>
  <si>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</si>
  <si>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</si>
  <si>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</si>
  <si>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</si>
  <si>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</si>
  <si>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</si>
  <si>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</si>
  <si>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</si>
  <si>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</si>
  <si>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</si>
  <si>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</si>
  <si>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</si>
  <si>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</si>
  <si>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</si>
  <si>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</si>
  <si>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</si>
  <si>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</si>
  <si>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</si>
  <si>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</si>
  <si>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</si>
  <si>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</si>
  <si>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</si>
  <si>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</si>
  <si>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</si>
  <si>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</si>
  <si>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</si>
  <si>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</si>
  <si>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</si>
  <si>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</si>
  <si>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</si>
  <si>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</si>
  <si>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</si>
  <si>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</si>
  <si>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</si>
  <si>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</si>
  <si>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</si>
  <si>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</si>
  <si>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</si>
  <si>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</si>
  <si>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</si>
  <si>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</si>
  <si>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</si>
  <si>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</si>
  <si>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</si>
  <si>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</si>
  <si>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</si>
  <si>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</si>
  <si>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</si>
  <si>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</si>
  <si>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</si>
  <si>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</si>
  <si>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</si>
  <si>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</si>
  <si>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</si>
  <si>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</si>
  <si>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</si>
  <si>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</si>
  <si>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</si>
  <si>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</si>
  <si>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</si>
  <si>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</si>
  <si>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</si>
  <si>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</si>
  <si>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</si>
  <si>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</si>
  <si>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</si>
  <si>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</si>
  <si>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</si>
  <si>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</si>
  <si>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</si>
  <si>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</si>
  <si>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</si>
  <si>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</si>
  <si>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</si>
  <si>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</si>
  <si>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</si>
  <si>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</si>
  <si>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</si>
  <si>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</si>
  <si>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</si>
  <si>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</si>
  <si>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</si>
  <si>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</si>
  <si>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</si>
  <si>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</si>
  <si>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</si>
  <si>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</si>
  <si>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</si>
  <si>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</si>
  <si>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</si>
  <si>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</si>
  <si>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</si>
  <si>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</si>
  <si>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</si>
  <si>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</si>
  <si>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</si>
  <si>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</si>
  <si>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</si>
  <si>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</si>
  <si>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</si>
  <si>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</si>
  <si>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</si>
  <si>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</si>
  <si>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</si>
  <si>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</si>
  <si>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</si>
  <si>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</si>
  <si>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</si>
  <si>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</si>
  <si>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</si>
  <si>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</si>
  <si>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</si>
  <si>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</si>
  <si>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</si>
  <si>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</si>
  <si>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</si>
  <si>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</si>
  <si>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</si>
  <si>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</si>
  <si>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</si>
  <si>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</si>
  <si>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</si>
  <si>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</si>
  <si>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</si>
  <si>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</si>
  <si>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</si>
  <si>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</si>
  <si>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</si>
  <si>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</si>
  <si>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</si>
  <si>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</si>
  <si>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</si>
  <si>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</si>
  <si>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</si>
  <si>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</si>
  <si>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</si>
  <si>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</si>
  <si>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</si>
  <si>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</si>
  <si>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</si>
  <si>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</si>
  <si>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</si>
  <si>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</si>
  <si>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</si>
  <si>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</si>
  <si>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</si>
  <si>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</si>
  <si>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</si>
  <si>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</si>
  <si>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</si>
  <si>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</si>
  <si>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</si>
  <si>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</si>
  <si>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</si>
  <si>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</si>
  <si>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</si>
  <si>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</si>
  <si>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</si>
  <si>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</si>
  <si>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</si>
  <si>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</si>
  <si>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</si>
  <si>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</si>
  <si>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</si>
  <si>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</si>
  <si>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</si>
  <si>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</si>
  <si>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</si>
  <si>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</si>
  <si>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</si>
  <si>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</si>
  <si>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</si>
  <si>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</si>
  <si>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</si>
  <si>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</si>
  <si>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</si>
  <si>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</si>
  <si>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</si>
  <si>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</si>
  <si>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</si>
  <si>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</si>
  <si>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</si>
  <si>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</si>
  <si>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</si>
  <si>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</si>
  <si>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</si>
  <si>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</si>
  <si>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</si>
  <si>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</si>
  <si>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</si>
  <si>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</si>
  <si>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</si>
  <si>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</si>
  <si>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</si>
  <si>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</si>
  <si>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</si>
  <si>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</si>
  <si>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</si>
  <si>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</si>
  <si>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</si>
  <si>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</si>
  <si>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</si>
  <si>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</si>
  <si>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</si>
  <si>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</si>
  <si>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</si>
  <si>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</si>
  <si>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</si>
  <si>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</si>
  <si>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</si>
  <si>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</si>
  <si>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</si>
  <si>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</si>
  <si>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</si>
  <si>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</si>
  <si>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</si>
  <si>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</si>
  <si>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</si>
  <si>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</si>
  <si>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</si>
  <si>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</si>
  <si>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</si>
  <si>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</si>
  <si>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</si>
  <si>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</si>
  <si>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</si>
  <si>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</si>
  <si>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</si>
  <si>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</si>
  <si>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</si>
  <si>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</si>
  <si>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</si>
  <si>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</si>
  <si>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</si>
  <si>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</si>
  <si>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</si>
  <si>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</si>
  <si>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</si>
  <si>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</si>
  <si>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</si>
  <si>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</si>
  <si>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</si>
  <si>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</si>
  <si>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</si>
  <si>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</si>
  <si>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</si>
  <si>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</si>
  <si>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</si>
  <si>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</si>
  <si>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</si>
  <si>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</si>
  <si>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</si>
  <si>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</si>
  <si>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</si>
  <si>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</si>
  <si>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</si>
  <si>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</si>
  <si>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</si>
  <si>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</si>
  <si>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</si>
  <si>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</si>
  <si>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</si>
  <si>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</si>
  <si>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</si>
  <si>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</si>
  <si>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</si>
  <si>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</si>
  <si>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</si>
  <si>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</si>
  <si>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</si>
  <si>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</si>
  <si>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</si>
  <si>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</si>
  <si>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</si>
  <si>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</si>
  <si>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</si>
  <si>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</si>
  <si>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</si>
  <si>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</si>
  <si>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</si>
  <si>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</si>
  <si>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</si>
  <si>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</si>
  <si>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</si>
  <si>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</si>
  <si>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</si>
  <si>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</si>
  <si>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</si>
  <si>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</si>
  <si>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</si>
  <si>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</si>
  <si>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</si>
  <si>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</si>
  <si>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</si>
  <si>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</si>
  <si>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</si>
  <si>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</si>
  <si>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</si>
  <si>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</si>
  <si>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</si>
  <si>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</si>
  <si>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</si>
  <si>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</si>
  <si>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</si>
  <si>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</si>
  <si>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</si>
  <si>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</si>
  <si>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</si>
  <si>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</si>
  <si>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</si>
  <si>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</si>
  <si>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</si>
  <si>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</si>
  <si>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</si>
  <si>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</si>
  <si>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</si>
  <si>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</si>
  <si>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</si>
  <si>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</si>
  <si>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</si>
  <si>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</si>
  <si>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</si>
  <si>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</si>
  <si>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</si>
  <si>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</si>
  <si>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</si>
  <si>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</si>
  <si>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</si>
  <si>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</si>
  <si>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</si>
  <si>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</si>
  <si>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</si>
  <si>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</si>
  <si>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</si>
  <si>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</si>
  <si>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</si>
  <si>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</si>
  <si>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</si>
  <si>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</si>
  <si>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</si>
  <si>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</si>
  <si>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</si>
  <si>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</si>
  <si>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</si>
  <si>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</si>
  <si>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</si>
  <si>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</si>
  <si>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</si>
  <si>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</si>
  <si>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</si>
  <si>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</si>
  <si>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</si>
  <si>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</si>
  <si>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</si>
  <si>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</si>
  <si>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</si>
  <si>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</si>
  <si>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</si>
  <si>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</si>
  <si>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</si>
  <si>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</si>
  <si>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</si>
  <si>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</si>
  <si>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</si>
  <si>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</si>
  <si>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</si>
  <si>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</si>
  <si>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</si>
  <si>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</si>
  <si>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</si>
  <si>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</si>
  <si>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</si>
  <si>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</si>
  <si>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</si>
  <si>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</si>
  <si>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</si>
  <si>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</si>
  <si>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Топливо</t>
  </si>
  <si>
    <t>Аренда земли</t>
  </si>
  <si>
    <t xml:space="preserve">Налог на имущество </t>
  </si>
  <si>
    <t>Водный налог</t>
  </si>
  <si>
    <t>Плата за негативное воздействие на окружающию среду</t>
  </si>
  <si>
    <t>Прочие налоги и сборы</t>
  </si>
  <si>
    <t>Резерв по сомнительным долгам</t>
  </si>
  <si>
    <t>Расходы на мероприятия по защите ЦСВ</t>
  </si>
  <si>
    <t>Нормативная прибыль</t>
  </si>
  <si>
    <t>Предпринимательская прибыль</t>
  </si>
  <si>
    <t>Прочие административные расходы</t>
  </si>
  <si>
    <t>Добавить прочие расходы</t>
  </si>
  <si>
    <t>HEAT_P2</t>
  </si>
  <si>
    <t>NOT_HEAT_P2</t>
  </si>
  <si>
    <t>hyp</t>
  </si>
  <si>
    <t>https://portal.eias.ru/Portal/DownloadPage.aspx?type=12&amp;guid=e2d6a2b7-458f-427d-bd81-87332b27708f</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</si>
  <si>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</si>
  <si>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</si>
  <si>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</si>
  <si>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</si>
  <si>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</si>
  <si>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</si>
  <si>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</si>
  <si>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</si>
  <si>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</si>
  <si>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</si>
  <si>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</si>
  <si>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</si>
  <si>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</si>
  <si>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</si>
  <si>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</si>
  <si>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</si>
  <si>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</si>
  <si>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</si>
  <si>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</si>
  <si>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</si>
  <si>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</si>
  <si>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</si>
  <si>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</si>
  <si>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</si>
  <si>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</si>
  <si>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</si>
  <si>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</si>
  <si>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</si>
  <si>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</si>
  <si>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</si>
  <si>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</si>
  <si>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</si>
  <si>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</si>
  <si>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</si>
  <si>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</si>
  <si>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</si>
  <si>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</si>
  <si>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</si>
  <si>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</si>
  <si>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</si>
  <si>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</si>
  <si>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</si>
  <si>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</si>
  <si>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</si>
  <si>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</si>
  <si>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</si>
  <si>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</si>
  <si>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</si>
  <si>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</si>
  <si>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</si>
  <si>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</si>
  <si>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</si>
  <si>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</si>
  <si>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</si>
  <si>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</si>
  <si>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</si>
  <si>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</si>
  <si>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</si>
  <si>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</si>
  <si>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</si>
  <si>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</si>
  <si>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</si>
  <si>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</si>
  <si>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</si>
  <si>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</si>
  <si>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</si>
  <si>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</si>
  <si>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</si>
  <si>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</si>
  <si>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</si>
  <si>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</si>
  <si>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</si>
  <si>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</si>
  <si>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</si>
  <si>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</si>
  <si>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</si>
  <si>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</si>
  <si>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</si>
  <si>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</si>
  <si>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</si>
  <si>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</si>
  <si>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</si>
  <si>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</si>
  <si>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</si>
  <si>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</si>
  <si>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</si>
  <si>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</si>
  <si>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</si>
  <si>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</si>
  <si>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</si>
  <si>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</si>
  <si>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</si>
  <si>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</si>
  <si>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</si>
  <si>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</si>
  <si>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</si>
  <si>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</si>
  <si>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</si>
  <si>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</si>
  <si>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</si>
  <si>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</si>
  <si>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</si>
  <si>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</si>
  <si>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</si>
  <si>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</si>
  <si>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</si>
  <si>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</si>
  <si>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</si>
  <si>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</si>
  <si>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</si>
  <si>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</si>
  <si>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</si>
  <si>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</si>
  <si>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</si>
  <si>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</si>
  <si>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</si>
  <si>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</si>
  <si>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</si>
  <si>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</si>
  <si>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</si>
  <si>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</si>
  <si>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</si>
  <si>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</si>
  <si>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</si>
  <si>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</si>
  <si>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</si>
  <si>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</si>
  <si>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</si>
  <si>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</si>
  <si>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</si>
  <si>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</si>
  <si>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</si>
  <si>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</si>
  <si>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</si>
  <si>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</si>
  <si>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</si>
  <si>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</si>
  <si>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</si>
  <si>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</si>
  <si>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</si>
  <si>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</si>
  <si>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</si>
  <si>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</si>
  <si>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</si>
  <si>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</si>
  <si>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</si>
  <si>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</si>
  <si>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</si>
  <si>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</si>
  <si>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</si>
  <si>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</si>
  <si>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</si>
  <si>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</si>
  <si>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</si>
  <si>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</si>
  <si>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</si>
  <si>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</si>
  <si>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</si>
  <si>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</si>
  <si>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</si>
  <si>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</si>
  <si>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</si>
  <si>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</si>
  <si>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</si>
  <si>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</si>
  <si>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</si>
  <si>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</si>
  <si>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</si>
  <si>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</si>
  <si>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</si>
  <si>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</si>
  <si>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</si>
  <si>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</si>
  <si>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</si>
  <si>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</si>
  <si>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</si>
  <si>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</si>
  <si>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</si>
  <si>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</si>
  <si>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</si>
  <si>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</si>
  <si>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</si>
  <si>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</si>
  <si>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</si>
  <si>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</si>
  <si>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</si>
  <si>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</si>
  <si>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</si>
  <si>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</si>
  <si>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</si>
  <si>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</si>
  <si>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</si>
  <si>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</si>
  <si>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</si>
  <si>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</si>
  <si>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</si>
  <si>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</si>
  <si>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</si>
  <si>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</si>
  <si>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</si>
  <si>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</si>
  <si>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</si>
  <si>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</si>
  <si>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</si>
  <si>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</si>
  <si>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</si>
  <si>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</si>
  <si>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</si>
  <si>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</si>
  <si>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</si>
  <si>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</si>
  <si>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</si>
  <si>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</si>
  <si>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</si>
  <si>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</si>
  <si>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</si>
  <si>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</si>
  <si>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</si>
  <si>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</si>
  <si>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</si>
  <si>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</si>
  <si>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</si>
  <si>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</si>
  <si>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</si>
  <si>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</si>
  <si>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</si>
  <si>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</si>
  <si>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</si>
  <si>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</si>
  <si>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</si>
  <si>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</si>
  <si>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</si>
  <si>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</si>
  <si>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</si>
  <si>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</si>
  <si>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</si>
  <si>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</si>
  <si>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</si>
  <si>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</si>
  <si>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</si>
  <si>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</si>
  <si>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</si>
  <si>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</si>
  <si>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</si>
  <si>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</si>
  <si>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</si>
  <si>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</si>
  <si>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</si>
  <si>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</si>
  <si>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</si>
  <si>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</si>
  <si>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</si>
  <si>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</si>
  <si>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</si>
  <si>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</si>
  <si>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</si>
  <si>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</si>
  <si>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</si>
  <si>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</si>
  <si>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</si>
  <si>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</si>
  <si>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</si>
  <si>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</si>
  <si>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</si>
  <si>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</si>
  <si>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</si>
  <si>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</si>
  <si>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</si>
  <si>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</si>
  <si>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</si>
  <si>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</si>
  <si>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</si>
  <si>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</si>
  <si>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</si>
  <si>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</si>
  <si>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</si>
  <si>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</si>
  <si>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</si>
  <si>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</si>
  <si>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</si>
  <si>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</si>
  <si>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</si>
  <si>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</si>
  <si>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</si>
  <si>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</si>
  <si>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</si>
  <si>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</si>
  <si>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</si>
  <si>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</si>
  <si>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</si>
  <si>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</si>
  <si>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</si>
  <si>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</si>
  <si>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</si>
  <si>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</si>
  <si>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</si>
  <si>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</si>
  <si>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</si>
  <si>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</si>
  <si>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</si>
  <si>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</si>
  <si>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</si>
  <si>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</si>
  <si>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</si>
  <si>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</si>
  <si>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</si>
  <si>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</si>
  <si>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</si>
  <si>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</si>
  <si>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</si>
  <si>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</si>
  <si>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</si>
  <si>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</si>
  <si>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</si>
  <si>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</si>
  <si>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</si>
  <si>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</si>
  <si>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</si>
  <si>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</si>
  <si>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</si>
  <si>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</si>
  <si>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</si>
  <si>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</si>
  <si>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</si>
  <si>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</si>
  <si>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</si>
  <si>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</si>
  <si>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</si>
  <si>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</si>
  <si>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</si>
  <si>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</si>
  <si>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</si>
  <si>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</si>
  <si>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</si>
  <si>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</si>
  <si>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</si>
  <si>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</si>
  <si>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</si>
  <si>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</si>
  <si>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</si>
  <si>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</si>
  <si>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</si>
  <si>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</si>
  <si>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</si>
  <si>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</si>
  <si>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</si>
  <si>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</si>
  <si>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</si>
  <si>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</si>
  <si>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</si>
  <si>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</si>
  <si>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</si>
  <si>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</si>
  <si>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</si>
  <si>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</si>
  <si>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</si>
  <si>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</si>
  <si>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</si>
  <si>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</si>
  <si>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</si>
  <si>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</si>
  <si>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</si>
  <si>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</si>
  <si>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</si>
  <si>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</si>
  <si>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</si>
  <si>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</si>
  <si>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</si>
  <si>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https://portal.eias.ru/Portal/DownloadPage.aspx?type=12&amp;guid=177d8dba-88ca-4bf7-8c43-1d784126bcfc</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</si>
  <si>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</si>
  <si>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</si>
  <si>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</si>
  <si>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https://portal.eias.ru/Portal/DownloadPage.aspx?type=12&amp;guid=5ccc1849-2d71-47d7-bd98-67645826a0c7</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</si>
  <si>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</si>
  <si>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</si>
  <si>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</si>
  <si>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</si>
  <si>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</si>
  <si>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</si>
  <si>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</si>
  <si>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</si>
  <si>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</si>
  <si>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</si>
  <si>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</si>
  <si>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</si>
  <si>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</si>
  <si>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</si>
  <si>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</si>
  <si>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</si>
  <si>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</si>
  <si>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</si>
  <si>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</si>
  <si>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</si>
  <si>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</si>
  <si>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</si>
  <si>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</si>
  <si>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</si>
  <si>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</si>
  <si>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</si>
  <si>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</si>
  <si>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</si>
  <si>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</si>
  <si>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</si>
  <si>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</si>
  <si>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</si>
  <si>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</si>
  <si>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</si>
  <si>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</si>
  <si>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</si>
  <si>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</si>
  <si>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</si>
  <si>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</si>
  <si>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</si>
  <si>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</si>
  <si>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</si>
  <si>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</si>
  <si>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</si>
  <si>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</si>
  <si>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</si>
  <si>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</si>
  <si>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</si>
  <si>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</si>
  <si>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t>
  </si>
  <si>
    <t>снижение аварийности</t>
  </si>
  <si>
    <t>Правительство Свердловской области</t>
  </si>
  <si>
    <t>Серовский городской округ</t>
  </si>
  <si>
    <t>18.10.2023</t>
  </si>
  <si>
    <t>31.12.2029</t>
  </si>
  <si>
    <t>№2-Кс от 19.07.2018г</t>
  </si>
  <si>
    <t>ip_511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</si>
  <si>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</si>
  <si>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</si>
  <si>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</si>
  <si>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</si>
  <si>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</si>
  <si>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</si>
  <si>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</si>
  <si>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</si>
  <si>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</si>
  <si>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</si>
  <si>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</si>
  <si>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</si>
  <si>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</si>
  <si>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</si>
  <si>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</si>
  <si>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</si>
  <si>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</si>
  <si>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</si>
  <si>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</si>
  <si>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</si>
  <si>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</si>
  <si>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</si>
  <si>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</si>
  <si>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</si>
  <si>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</si>
  <si>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</si>
  <si>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</si>
  <si>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</si>
  <si>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</si>
  <si>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</si>
  <si>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</si>
  <si>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Реконструкция коллектора "Северный"</t>
  </si>
  <si>
    <t>Срок выполнения не наступил</t>
  </si>
  <si>
    <t xml:space="preserve">  Прибыль направляемая на инвестиции</t>
  </si>
  <si>
    <t>Добавить источник финансирования</t>
  </si>
  <si>
    <t>Добавить объект инфраструктуры</t>
  </si>
  <si>
    <t>Добавить мероприятие</t>
  </si>
  <si>
    <t>Строительство сети хозяйственно-бытовой канализации от комплексаочистных сооружений пос.Энергетиков в г. Серове до городских сетей водоотведения</t>
  </si>
  <si>
    <t>Декабрь</t>
  </si>
  <si>
    <t>2024</t>
  </si>
  <si>
    <t xml:space="preserve">  Доход от взимания платы за негативное воздействие на работу централизованной системы водоотведения</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</si>
  <si>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</si>
  <si>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</si>
  <si>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</si>
  <si>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</si>
  <si>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</si>
  <si>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</si>
  <si>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</si>
  <si>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</si>
  <si>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</si>
  <si>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</si>
  <si>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</si>
  <si>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</si>
  <si>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</si>
  <si>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</si>
  <si>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</si>
  <si>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</si>
  <si>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</si>
  <si>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</si>
  <si>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</si>
  <si>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</si>
  <si>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</si>
  <si>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</si>
  <si>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</si>
  <si>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</si>
  <si>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</si>
  <si>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</si>
  <si>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</si>
  <si>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</si>
  <si>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</si>
  <si>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</si>
  <si>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</si>
  <si>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</si>
  <si>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</si>
  <si>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</si>
  <si>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</si>
  <si>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</si>
  <si>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</si>
  <si>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</si>
  <si>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</si>
  <si>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</si>
  <si>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</si>
  <si>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</si>
  <si>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</si>
  <si>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</si>
  <si>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</si>
  <si>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</si>
  <si>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</si>
  <si>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</si>
  <si>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</si>
  <si>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</si>
  <si>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</si>
  <si>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</si>
  <si>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</si>
  <si>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</si>
  <si>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</si>
  <si>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</si>
  <si>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</si>
  <si>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</si>
  <si>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</si>
  <si>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</si>
  <si>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</si>
  <si>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</si>
  <si>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</si>
  <si>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</si>
  <si>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</si>
  <si>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</si>
  <si>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</si>
  <si>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</si>
  <si>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</si>
  <si>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</si>
  <si>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</si>
  <si>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</si>
  <si>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</si>
  <si>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</si>
  <si>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</si>
  <si>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</si>
  <si>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</si>
  <si>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</si>
  <si>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</si>
  <si>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</si>
  <si>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</si>
  <si>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</si>
  <si>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</si>
  <si>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</si>
  <si>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</si>
  <si>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</si>
  <si>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</si>
  <si>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</si>
  <si>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</si>
  <si>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</si>
  <si>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</si>
  <si>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</si>
  <si>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</si>
  <si>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</si>
  <si>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</si>
  <si>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</si>
  <si>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</si>
  <si>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</si>
  <si>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</si>
  <si>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</si>
  <si>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</si>
  <si>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</si>
  <si>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</si>
  <si>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</si>
  <si>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</si>
  <si>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</si>
  <si>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</si>
  <si>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</si>
  <si>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</si>
  <si>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</si>
  <si>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</si>
  <si>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</si>
  <si>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</si>
  <si>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</si>
  <si>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</si>
  <si>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</si>
  <si>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</si>
  <si>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</si>
  <si>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</si>
  <si>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</si>
  <si>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</si>
  <si>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</si>
  <si>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</si>
  <si>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</si>
  <si>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</si>
  <si>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</si>
  <si>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</si>
  <si>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</si>
  <si>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</si>
  <si>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</si>
  <si>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</si>
  <si>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</si>
  <si>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</si>
  <si>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</si>
  <si>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</si>
  <si>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</si>
  <si>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</si>
  <si>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</si>
  <si>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</si>
  <si>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</si>
  <si>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</si>
  <si>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</si>
  <si>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</si>
  <si>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</si>
  <si>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</si>
  <si>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</si>
  <si>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</si>
  <si>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</si>
  <si>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</si>
  <si>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</si>
  <si>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</si>
  <si>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</si>
  <si>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</si>
  <si>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</si>
  <si>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</si>
  <si>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</si>
  <si>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</si>
  <si>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</si>
  <si>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</si>
  <si>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</si>
  <si>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</si>
  <si>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</si>
  <si>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</si>
  <si>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</si>
  <si>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</si>
  <si>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</si>
  <si>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</si>
  <si>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</si>
  <si>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</si>
  <si>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</si>
  <si>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</si>
  <si>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</si>
  <si>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</si>
  <si>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</si>
  <si>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</si>
  <si>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</si>
  <si>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</si>
  <si>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</si>
  <si>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</si>
  <si>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</si>
  <si>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</si>
  <si>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</si>
  <si>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</si>
  <si>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</si>
  <si>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</si>
  <si>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</si>
  <si>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</si>
  <si>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</si>
  <si>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</si>
  <si>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</si>
  <si>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</si>
  <si>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</si>
  <si>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</si>
  <si>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</si>
  <si>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</si>
  <si>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</si>
  <si>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</si>
  <si>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</si>
  <si>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</si>
  <si>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</si>
  <si>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</si>
  <si>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</si>
  <si>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</si>
  <si>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</si>
  <si>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</si>
  <si>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</si>
  <si>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</si>
  <si>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</si>
  <si>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</si>
  <si>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</si>
  <si>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</si>
  <si>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</si>
  <si>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</si>
  <si>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</si>
  <si>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</si>
  <si>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</si>
  <si>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</si>
  <si>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</si>
  <si>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</si>
  <si>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</si>
  <si>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</si>
  <si>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</si>
  <si>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</si>
  <si>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</si>
  <si>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</si>
  <si>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</si>
  <si>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</si>
  <si>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</si>
  <si>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</si>
  <si>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</si>
  <si>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</si>
  <si>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</si>
  <si>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</si>
  <si>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</si>
  <si>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</si>
  <si>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</si>
  <si>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</si>
  <si>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</si>
  <si>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</si>
  <si>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</si>
  <si>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</si>
  <si>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</si>
  <si>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</si>
  <si>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</si>
  <si>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</si>
  <si>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</si>
  <si>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</si>
  <si>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</si>
  <si>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</si>
  <si>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</si>
  <si>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</si>
  <si>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</si>
  <si>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</si>
  <si>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</si>
  <si>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</si>
  <si>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</si>
  <si>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</si>
  <si>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</si>
  <si>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</si>
  <si>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</si>
  <si>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</si>
  <si>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</si>
  <si>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</si>
  <si>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</si>
  <si>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</si>
  <si>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</si>
  <si>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</si>
  <si>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</si>
  <si>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</si>
  <si>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</si>
  <si>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</si>
  <si>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</si>
  <si>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</si>
  <si>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</si>
  <si>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</si>
  <si>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</si>
  <si>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</si>
  <si>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</si>
  <si>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</si>
  <si>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</si>
  <si>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</si>
  <si>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</si>
  <si>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</si>
  <si>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</si>
  <si>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</si>
  <si>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</si>
  <si>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</si>
  <si>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</si>
  <si>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</si>
  <si>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</si>
  <si>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</si>
  <si>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</si>
  <si>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</si>
  <si>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</si>
  <si>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</si>
  <si>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</si>
  <si>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</si>
  <si>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</si>
  <si>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</si>
  <si>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</si>
  <si>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</si>
  <si>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</si>
  <si>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</si>
  <si>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</si>
  <si>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</si>
  <si>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</si>
  <si>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</si>
  <si>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</si>
  <si>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</si>
  <si>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</si>
  <si>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</si>
  <si>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</si>
  <si>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</si>
  <si>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</si>
  <si>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</si>
  <si>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</si>
  <si>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</si>
  <si>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</si>
  <si>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</si>
  <si>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</si>
  <si>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</si>
  <si>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</si>
  <si>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</si>
  <si>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</si>
  <si>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</si>
  <si>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</si>
  <si>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</si>
  <si>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</si>
  <si>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</si>
  <si>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</si>
  <si>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</si>
  <si>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</si>
  <si>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</si>
  <si>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</si>
  <si>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</si>
  <si>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</si>
  <si>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</si>
  <si>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</si>
  <si>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</si>
  <si>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</si>
  <si>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</si>
  <si>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</si>
  <si>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</si>
  <si>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</si>
  <si>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</si>
  <si>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</si>
  <si>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</si>
  <si>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</si>
  <si>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</si>
  <si>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</si>
  <si>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</si>
  <si>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</si>
  <si>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</si>
  <si>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</si>
  <si>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</si>
  <si>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</si>
  <si>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</si>
  <si>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</si>
  <si>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</si>
  <si>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</si>
  <si>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</si>
  <si>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</si>
  <si>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</si>
  <si>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</si>
  <si>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</si>
  <si>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</si>
  <si>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</si>
  <si>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</si>
  <si>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</si>
  <si>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</si>
  <si>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</si>
  <si>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</si>
  <si>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</si>
  <si>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</si>
  <si>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</si>
  <si>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</si>
  <si>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</si>
  <si>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</si>
  <si>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</si>
  <si>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</si>
  <si>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</si>
  <si>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</si>
  <si>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</si>
  <si>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</si>
  <si>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</si>
  <si>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</si>
  <si>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</si>
  <si>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</si>
  <si>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</si>
  <si>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</si>
  <si>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</si>
  <si>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</si>
  <si>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</si>
  <si>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</si>
  <si>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</si>
  <si>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</si>
  <si>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</si>
  <si>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</si>
  <si>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</si>
  <si>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</si>
  <si>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</si>
  <si>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</si>
  <si>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</si>
  <si>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</si>
  <si>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</si>
  <si>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</si>
  <si>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</si>
  <si>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</si>
  <si>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</si>
  <si>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</si>
  <si>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</si>
  <si>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</si>
  <si>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</si>
  <si>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</si>
  <si>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</si>
  <si>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</si>
  <si>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</si>
  <si>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</si>
  <si>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</si>
  <si>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</si>
  <si>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</si>
  <si>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</si>
  <si>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</si>
  <si>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</si>
  <si>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</si>
  <si>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</si>
  <si>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</si>
  <si>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</si>
  <si>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</si>
  <si>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</si>
  <si>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</si>
  <si>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</si>
  <si>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</si>
  <si>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</si>
  <si>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</si>
  <si>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</si>
  <si>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</si>
  <si>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</si>
  <si>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</si>
  <si>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</si>
  <si>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</si>
  <si>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</si>
  <si>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</si>
  <si>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</si>
  <si>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</si>
  <si>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</si>
  <si>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</si>
  <si>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</si>
  <si>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</si>
  <si>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</si>
  <si>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</si>
  <si>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</si>
  <si>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</si>
  <si>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</si>
  <si>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</si>
  <si>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</si>
  <si>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</si>
  <si>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</si>
  <si>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</si>
  <si>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</si>
  <si>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</si>
  <si>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</si>
  <si>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</si>
  <si>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</si>
  <si>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</si>
  <si>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</si>
  <si>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</si>
  <si>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</si>
  <si>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</si>
  <si>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</si>
  <si>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</si>
  <si>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</si>
  <si>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</si>
  <si>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</si>
  <si>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</si>
  <si>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</si>
  <si>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</si>
  <si>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</si>
  <si>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</si>
  <si>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</si>
  <si>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</si>
  <si>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</si>
  <si>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</si>
  <si>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</si>
  <si>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</si>
  <si>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</si>
  <si>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</si>
  <si>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</si>
  <si>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</si>
  <si>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</si>
  <si>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</si>
  <si>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</si>
  <si>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</si>
  <si>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</si>
  <si>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</si>
  <si>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</si>
  <si>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</si>
  <si>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</si>
  <si>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</si>
  <si>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</si>
  <si>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</si>
  <si>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</si>
  <si>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</si>
  <si>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</si>
  <si>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</si>
  <si>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</si>
  <si>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</si>
  <si>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</si>
  <si>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</si>
  <si>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</si>
  <si>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</si>
  <si>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</si>
  <si>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</si>
  <si>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</si>
  <si>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</si>
  <si>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</si>
  <si>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</si>
  <si>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</si>
  <si>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</si>
  <si>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</si>
  <si>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</si>
  <si>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</si>
  <si>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</si>
  <si>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</si>
  <si>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</si>
  <si>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</si>
  <si>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</si>
  <si>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</si>
  <si>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</si>
  <si>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</si>
  <si>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</si>
  <si>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</si>
  <si>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</si>
  <si>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</si>
  <si>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</si>
  <si>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</si>
  <si>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</si>
  <si>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</si>
  <si>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</si>
  <si>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</si>
  <si>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</si>
  <si>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</si>
  <si>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</si>
  <si>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</si>
  <si>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</si>
  <si>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</si>
  <si>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</si>
  <si>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</si>
  <si>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</si>
  <si>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</si>
  <si>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</si>
  <si>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</si>
  <si>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</si>
  <si>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</si>
  <si>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</si>
  <si>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</si>
  <si>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</si>
  <si>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</si>
  <si>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</si>
  <si>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</si>
  <si>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</si>
  <si>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</si>
  <si>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</si>
  <si>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</si>
  <si>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</si>
  <si>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</si>
  <si>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</si>
  <si>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</si>
  <si>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</si>
  <si>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</si>
  <si>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</si>
  <si>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</si>
  <si>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</si>
  <si>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</si>
  <si>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</si>
  <si>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</si>
  <si>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</si>
  <si>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</si>
  <si>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</si>
  <si>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</si>
  <si>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</si>
  <si>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</si>
  <si>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</si>
  <si>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</si>
  <si>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</si>
  <si>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</si>
  <si>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</si>
  <si>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</si>
  <si>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</si>
  <si>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</si>
  <si>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</si>
  <si>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</si>
  <si>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</si>
  <si>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</si>
  <si>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</si>
  <si>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</si>
  <si>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</si>
  <si>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</si>
  <si>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</si>
  <si>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</si>
  <si>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</si>
  <si>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</si>
  <si>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</si>
  <si>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</si>
  <si>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</si>
  <si>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</si>
  <si>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</si>
  <si>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</si>
  <si>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</si>
  <si>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</si>
  <si>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</si>
  <si>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</si>
  <si>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</si>
  <si>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</si>
  <si>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</si>
  <si>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</si>
  <si>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</si>
  <si>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</si>
  <si>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</si>
  <si>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</si>
  <si>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</si>
  <si>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</si>
  <si>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</si>
  <si>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</si>
  <si>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</si>
  <si>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</si>
  <si>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</si>
  <si>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</si>
  <si>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</si>
  <si>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</si>
  <si>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</si>
  <si>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</si>
  <si>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</si>
  <si>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</si>
  <si>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</si>
  <si>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</si>
  <si>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</si>
  <si>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</si>
  <si>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</si>
  <si>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</si>
  <si>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</si>
  <si>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</si>
  <si>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</si>
  <si>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</si>
  <si>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</si>
  <si>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</si>
  <si>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</si>
  <si>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</si>
  <si>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</si>
  <si>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</si>
  <si>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</si>
  <si>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</si>
  <si>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</si>
  <si>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</si>
  <si>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</si>
  <si>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</si>
  <si>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</si>
  <si>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</si>
  <si>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</si>
  <si>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</si>
  <si>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</si>
  <si>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</si>
  <si>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</si>
  <si>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</si>
  <si>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</si>
  <si>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</si>
  <si>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</si>
  <si>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</si>
  <si>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</si>
  <si>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</si>
  <si>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</si>
  <si>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</si>
  <si>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</si>
  <si>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</si>
  <si>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</si>
  <si>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</si>
  <si>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</si>
  <si>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</si>
  <si>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</si>
  <si>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</si>
  <si>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</si>
  <si>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</si>
  <si>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</si>
  <si>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</si>
  <si>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</si>
  <si>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</si>
  <si>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</si>
  <si>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</si>
  <si>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</si>
  <si>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</si>
  <si>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</si>
  <si>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</si>
  <si>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</si>
  <si>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</si>
  <si>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</si>
  <si>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</si>
  <si>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</si>
  <si>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</si>
  <si>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</si>
  <si>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</si>
  <si>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</si>
  <si>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</si>
  <si>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</si>
  <si>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</si>
  <si>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</si>
  <si>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</si>
  <si>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</si>
  <si>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</si>
  <si>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</si>
  <si>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</si>
  <si>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</si>
  <si>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</si>
  <si>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</si>
  <si>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</si>
  <si>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</si>
  <si>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</si>
  <si>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</si>
  <si>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</si>
  <si>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</si>
  <si>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</si>
  <si>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</si>
  <si>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</si>
  <si>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</si>
  <si>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</si>
  <si>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</si>
  <si>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</si>
  <si>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</si>
  <si>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</si>
  <si>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</si>
  <si>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</si>
  <si>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</si>
  <si>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</si>
  <si>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</si>
  <si>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</si>
  <si>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</si>
  <si>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</si>
  <si>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</si>
  <si>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</si>
  <si>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</si>
  <si>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</si>
  <si>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</si>
  <si>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</si>
  <si>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</si>
  <si>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</si>
  <si>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</si>
  <si>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</si>
  <si>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</si>
  <si>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</si>
  <si>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</si>
  <si>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</si>
  <si>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</si>
  <si>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</si>
  <si>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</si>
  <si>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</si>
  <si>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</si>
  <si>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</si>
  <si>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</si>
  <si>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</si>
  <si>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</si>
  <si>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</si>
  <si>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</si>
  <si>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</si>
  <si>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</si>
  <si>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</si>
  <si>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</si>
  <si>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</si>
  <si>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</si>
  <si>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</si>
  <si>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</si>
  <si>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</si>
  <si>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</si>
  <si>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</si>
  <si>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</si>
  <si>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</si>
  <si>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</si>
  <si>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</si>
  <si>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</si>
  <si>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</si>
  <si>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</si>
  <si>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</si>
  <si>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</si>
  <si>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</si>
  <si>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</si>
  <si>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</si>
  <si>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</si>
  <si>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</si>
  <si>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</si>
  <si>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</si>
  <si>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</si>
  <si>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</si>
  <si>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</si>
  <si>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</si>
  <si>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</si>
  <si>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</si>
  <si>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</si>
  <si>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</si>
  <si>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</si>
  <si>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</si>
  <si>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</si>
  <si>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</si>
  <si>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</si>
  <si>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</si>
  <si>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</si>
  <si>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</si>
  <si>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</si>
  <si>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</si>
  <si>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</si>
  <si>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</si>
  <si>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</si>
  <si>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</si>
  <si>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</si>
  <si>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</si>
  <si>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</si>
  <si>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</si>
  <si>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</si>
  <si>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</si>
  <si>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</si>
  <si>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</si>
  <si>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</si>
  <si>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</si>
  <si>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</si>
  <si>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</si>
  <si>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</si>
  <si>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</si>
  <si>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</si>
  <si>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</si>
  <si>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</si>
  <si>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</si>
  <si>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</si>
  <si>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</si>
  <si>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</si>
  <si>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</si>
  <si>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</si>
  <si>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</si>
  <si>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</si>
  <si>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</si>
  <si>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</si>
  <si>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</si>
  <si>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</si>
  <si>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</si>
  <si>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</si>
  <si>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</si>
  <si>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</si>
  <si>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</si>
  <si>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</si>
  <si>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</si>
  <si>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</si>
  <si>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</si>
  <si>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</si>
  <si>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</si>
  <si>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</si>
  <si>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</si>
  <si>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</si>
  <si>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</si>
  <si>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</si>
  <si>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</si>
  <si>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</si>
  <si>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</si>
  <si>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</si>
  <si>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</si>
  <si>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</si>
  <si>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</si>
  <si>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</si>
  <si>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</si>
  <si>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</si>
  <si>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</si>
  <si>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</si>
  <si>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</si>
  <si>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</si>
  <si>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</si>
  <si>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</si>
  <si>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</si>
  <si>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</si>
  <si>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</si>
  <si>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</si>
  <si>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</si>
  <si>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</si>
  <si>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</si>
  <si>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</si>
  <si>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</si>
  <si>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</si>
  <si>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</si>
  <si>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</si>
  <si>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</si>
  <si>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</si>
  <si>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</si>
  <si>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</si>
  <si>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</si>
  <si>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</si>
  <si>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</si>
  <si>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</si>
  <si>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</si>
  <si>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</si>
  <si>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</si>
  <si>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</si>
  <si>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</si>
  <si>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</si>
  <si>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</si>
  <si>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</si>
  <si>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</si>
  <si>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</si>
  <si>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</si>
  <si>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</si>
  <si>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</si>
  <si>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</si>
  <si>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</si>
  <si>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</si>
  <si>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</si>
  <si>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</si>
  <si>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</si>
  <si>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</si>
  <si>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</si>
  <si>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</si>
  <si>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</si>
  <si>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</si>
  <si>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</si>
  <si>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</si>
  <si>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</si>
  <si>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</si>
  <si>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</si>
  <si>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</si>
  <si>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</si>
  <si>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</si>
  <si>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</si>
  <si>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</si>
  <si>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</si>
  <si>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</si>
  <si>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</si>
  <si>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</si>
  <si>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</si>
  <si>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</si>
  <si>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</si>
  <si>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</si>
  <si>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</si>
  <si>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</si>
  <si>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</si>
  <si>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</si>
  <si>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</si>
  <si>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</si>
  <si>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</si>
  <si>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</si>
  <si>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</si>
  <si>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</si>
  <si>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</si>
  <si>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</si>
  <si>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</si>
  <si>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</si>
  <si>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</si>
  <si>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</si>
  <si>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</si>
  <si>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</si>
  <si>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</si>
  <si>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</si>
  <si>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</si>
  <si>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</si>
  <si>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</si>
  <si>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</si>
  <si>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</si>
  <si>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</si>
  <si>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</si>
  <si>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</si>
  <si>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</si>
  <si>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</si>
  <si>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</si>
  <si>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</si>
  <si>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</si>
  <si>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</si>
  <si>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</si>
  <si>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</si>
  <si>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</si>
  <si>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</si>
  <si>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</si>
  <si>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</si>
  <si>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</si>
  <si>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</si>
  <si>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</si>
  <si>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</si>
  <si>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</si>
  <si>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</si>
  <si>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</si>
  <si>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</si>
  <si>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</si>
  <si>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</si>
  <si>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</si>
  <si>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</si>
  <si>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</si>
  <si>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</si>
  <si>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</si>
  <si>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</si>
  <si>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</si>
  <si>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</si>
  <si>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</si>
  <si>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</si>
  <si>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</si>
  <si>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</si>
  <si>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</si>
  <si>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</si>
  <si>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</si>
  <si>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</si>
  <si>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</si>
  <si>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</si>
  <si>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</si>
  <si>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</si>
  <si>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</si>
  <si>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</si>
  <si>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</si>
  <si>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</si>
  <si>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</si>
  <si>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</si>
  <si>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</si>
  <si>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</si>
  <si>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</si>
  <si>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</si>
  <si>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</si>
  <si>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</si>
  <si>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</si>
  <si>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</si>
  <si>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</si>
  <si>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</si>
  <si>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</si>
  <si>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</si>
  <si>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</si>
  <si>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</si>
  <si>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</si>
  <si>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</si>
  <si>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</si>
  <si>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</si>
  <si>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</si>
  <si>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</si>
  <si>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</si>
  <si>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</si>
  <si>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</si>
  <si>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</si>
  <si>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</si>
  <si>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</si>
  <si>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</si>
  <si>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</si>
  <si>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</si>
  <si>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</si>
  <si>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</si>
  <si>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</si>
  <si>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</si>
  <si>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</si>
  <si>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</si>
  <si>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</si>
  <si>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</si>
  <si>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</si>
  <si>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</si>
  <si>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</si>
  <si>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</si>
  <si>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</si>
  <si>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</si>
  <si>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</si>
  <si>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</si>
  <si>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</si>
  <si>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</si>
  <si>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</si>
  <si>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</si>
  <si>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</si>
  <si>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</si>
  <si>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</si>
  <si>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</si>
  <si>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</si>
  <si>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</si>
  <si>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</si>
  <si>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</si>
  <si>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</si>
  <si>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</si>
  <si>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</si>
  <si>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</si>
  <si>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</si>
  <si>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</si>
  <si>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</si>
  <si>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</si>
  <si>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</si>
  <si>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</si>
  <si>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</si>
  <si>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</si>
  <si>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</si>
  <si>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</si>
  <si>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</si>
  <si>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</si>
  <si>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</si>
  <si>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</si>
  <si>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</si>
  <si>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</si>
  <si>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</si>
  <si>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</si>
  <si>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</si>
  <si>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</si>
  <si>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</si>
  <si>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</si>
  <si>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</si>
  <si>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</si>
  <si>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</si>
  <si>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</si>
  <si>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</si>
  <si>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</si>
  <si>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</si>
  <si>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</si>
  <si>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</si>
  <si>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</si>
  <si>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</si>
  <si>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</si>
  <si>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</si>
  <si>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</si>
  <si>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</si>
  <si>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</si>
  <si>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</si>
  <si>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</si>
  <si>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</si>
  <si>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</si>
  <si>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</si>
  <si>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</si>
  <si>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</si>
  <si>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</si>
  <si>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</si>
  <si>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</si>
  <si>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</si>
  <si>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</si>
  <si>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</si>
  <si>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</si>
  <si>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</si>
  <si>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</si>
  <si>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</si>
  <si>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</si>
  <si>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</si>
  <si>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</si>
  <si>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</si>
  <si>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</si>
  <si>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</si>
  <si>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</si>
  <si>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</si>
  <si>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</si>
  <si>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</si>
  <si>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</si>
  <si>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</si>
  <si>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</si>
  <si>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</si>
  <si>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</si>
  <si>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</si>
  <si>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</si>
  <si>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</si>
  <si>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</si>
  <si>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</si>
  <si>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</si>
  <si>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</si>
  <si>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</si>
  <si>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</si>
  <si>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</si>
  <si>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</si>
  <si>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</si>
  <si>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</si>
  <si>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</si>
  <si>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</si>
  <si>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</si>
  <si>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</si>
  <si>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</si>
  <si>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</si>
  <si>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</si>
  <si>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</si>
  <si>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</si>
  <si>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</si>
  <si>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</si>
  <si>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</si>
  <si>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</si>
  <si>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</si>
  <si>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</si>
  <si>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</si>
  <si>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</si>
  <si>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</si>
  <si>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</si>
  <si>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</si>
  <si>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</si>
  <si>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</si>
  <si>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</si>
  <si>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</si>
  <si>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</si>
  <si>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</si>
  <si>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</si>
  <si>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</si>
  <si>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</si>
  <si>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</si>
  <si>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</si>
  <si>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</si>
  <si>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</si>
  <si>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</si>
  <si>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</si>
  <si>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</si>
  <si>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</si>
  <si>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</si>
  <si>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</si>
  <si>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</si>
  <si>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</si>
  <si>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</si>
  <si>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</si>
  <si>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</si>
  <si>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</si>
  <si>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</si>
  <si>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</si>
  <si>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</si>
  <si>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</si>
  <si>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</si>
  <si>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</si>
  <si>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</si>
  <si>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</si>
  <si>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</si>
  <si>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</si>
  <si>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</si>
  <si>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</si>
  <si>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</si>
  <si>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</si>
  <si>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</si>
  <si>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</si>
  <si>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</si>
  <si>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</si>
  <si>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</si>
  <si>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</si>
  <si>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</si>
  <si>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</si>
  <si>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</si>
  <si>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</si>
  <si>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</si>
  <si>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</si>
  <si>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</si>
  <si>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</si>
  <si>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</si>
  <si>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</si>
  <si>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</si>
  <si>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</si>
  <si>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</si>
  <si>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</si>
  <si>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</si>
  <si>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</si>
  <si>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</si>
  <si>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</si>
  <si>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</si>
  <si>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</si>
  <si>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</si>
  <si>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</si>
  <si>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</si>
  <si>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</si>
  <si>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</si>
  <si>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</si>
  <si>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</si>
  <si>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</si>
  <si>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</si>
  <si>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</si>
  <si>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</si>
  <si>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</si>
  <si>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</si>
  <si>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</si>
  <si>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</si>
  <si>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28146860</t>
  </si>
  <si>
    <t>АО "Интер РАО - Электрогенерация"</t>
  </si>
  <si>
    <t>7704784450</t>
  </si>
  <si>
    <t>770401001</t>
  </si>
  <si>
    <t>26479072</t>
  </si>
  <si>
    <t>АО "Ирбитский химико-фармацевтический завод", г.Ирбит</t>
  </si>
  <si>
    <t>6611000252</t>
  </si>
  <si>
    <t>667601001</t>
  </si>
  <si>
    <t>28-10-2002 00:00:00</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</si>
  <si>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</si>
  <si>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</si>
  <si>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</si>
  <si>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</si>
  <si>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</si>
  <si>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</si>
  <si>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</si>
  <si>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</si>
  <si>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</si>
  <si>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</si>
  <si>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</si>
  <si>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</si>
  <si>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</si>
  <si>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</si>
  <si>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</si>
  <si>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</si>
  <si>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</si>
  <si>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</si>
  <si>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</si>
  <si>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</si>
  <si>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</si>
  <si>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26479446</t>
  </si>
  <si>
    <t>АО "НПП "Старт" им. А.И. Яскина", г. Екатеринбург</t>
  </si>
  <si>
    <t>6662054224</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</si>
  <si>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</si>
  <si>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</si>
  <si>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</si>
  <si>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</si>
  <si>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</si>
  <si>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</si>
  <si>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</si>
  <si>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</si>
  <si>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30994766</t>
  </si>
  <si>
    <t>АО "ОТСК"</t>
  </si>
  <si>
    <t>6658447960</t>
  </si>
  <si>
    <t>665801001</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</si>
  <si>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</si>
  <si>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</si>
  <si>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</si>
  <si>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</si>
  <si>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</si>
  <si>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</si>
  <si>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</si>
  <si>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</si>
  <si>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</si>
  <si>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</si>
  <si>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</si>
  <si>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</si>
  <si>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</si>
  <si>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</si>
  <si>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26479182</t>
  </si>
  <si>
    <t>АО "Святогор"</t>
  </si>
  <si>
    <t>6618000220</t>
  </si>
  <si>
    <t>668101001</t>
  </si>
  <si>
    <t>30-12-1992 00:00:00</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</si>
  <si>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</si>
  <si>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</si>
  <si>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</si>
  <si>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</si>
  <si>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</si>
  <si>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</si>
  <si>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</si>
  <si>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</si>
  <si>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</si>
  <si>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</si>
  <si>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</si>
  <si>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</si>
  <si>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</si>
  <si>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</si>
  <si>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</si>
  <si>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</si>
  <si>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26479102</t>
  </si>
  <si>
    <t>АО "УМЕКОН", г.Екатеринбург</t>
  </si>
  <si>
    <t>6660000590</t>
  </si>
  <si>
    <t>31776595</t>
  </si>
  <si>
    <t>АО "Уралтурбо"</t>
  </si>
  <si>
    <t>6659003244</t>
  </si>
  <si>
    <t>667801001</t>
  </si>
  <si>
    <t>26322623</t>
  </si>
  <si>
    <t>АО "Уралхиммаш", г.Екатеринбург</t>
  </si>
  <si>
    <t>6664013880</t>
  </si>
  <si>
    <t>667901001</t>
  </si>
  <si>
    <t>28-06-1996 00:00:00</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</si>
  <si>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</si>
  <si>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</si>
  <si>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</si>
  <si>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</si>
  <si>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</si>
  <si>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</si>
  <si>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</si>
  <si>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</si>
  <si>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</si>
  <si>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668601001</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</si>
  <si>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</si>
  <si>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</si>
  <si>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</si>
  <si>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</si>
  <si>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</si>
  <si>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</si>
  <si>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</si>
  <si>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</si>
  <si>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661901001</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</si>
  <si>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</si>
  <si>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</si>
  <si>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</si>
  <si>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</si>
  <si>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</si>
  <si>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</si>
  <si>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</si>
  <si>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</si>
  <si>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</si>
  <si>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</si>
  <si>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</si>
  <si>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</si>
  <si>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</si>
  <si>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</si>
  <si>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</si>
  <si>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</si>
  <si>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26359577</t>
  </si>
  <si>
    <t>Акционерное общество "ЕВРАЗ Качканарский горно-обогатительный комбинат", г.Качканар</t>
  </si>
  <si>
    <t>6615001962</t>
  </si>
  <si>
    <t>15-04-1993 00:00:00</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</si>
  <si>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</si>
  <si>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</si>
  <si>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</si>
  <si>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</si>
  <si>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</si>
  <si>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</si>
  <si>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</si>
  <si>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</si>
  <si>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</si>
  <si>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</si>
  <si>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</si>
  <si>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</si>
  <si>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</si>
  <si>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</si>
  <si>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</si>
  <si>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</si>
  <si>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</si>
  <si>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</si>
  <si>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26359598</t>
  </si>
  <si>
    <t>Акционерное общество "Калиновский химический завод", п.Калиново</t>
  </si>
  <si>
    <t>6621001262</t>
  </si>
  <si>
    <t>668201001</t>
  </si>
  <si>
    <t>27-07-1998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</si>
  <si>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</si>
  <si>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</si>
  <si>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</si>
  <si>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</si>
  <si>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</si>
  <si>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</si>
  <si>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</si>
  <si>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</si>
  <si>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</si>
  <si>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</si>
  <si>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</si>
  <si>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</si>
  <si>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</si>
  <si>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</si>
  <si>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</si>
  <si>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</si>
  <si>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</si>
  <si>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</si>
  <si>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</si>
  <si>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</si>
  <si>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</si>
  <si>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</si>
  <si>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</si>
  <si>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</si>
  <si>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</si>
  <si>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</si>
  <si>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</si>
  <si>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</si>
  <si>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</si>
  <si>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</si>
  <si>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</si>
  <si>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</si>
  <si>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</si>
  <si>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</si>
  <si>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</si>
  <si>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</si>
  <si>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</si>
  <si>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</si>
  <si>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</si>
  <si>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</si>
  <si>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</si>
  <si>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</si>
  <si>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</si>
  <si>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</si>
  <si>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</si>
  <si>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</si>
  <si>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</si>
  <si>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</si>
  <si>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</si>
  <si>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</si>
  <si>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</si>
  <si>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</si>
  <si>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</si>
  <si>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</si>
  <si>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</si>
  <si>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</si>
  <si>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</si>
  <si>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</si>
  <si>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</si>
  <si>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</si>
  <si>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</si>
  <si>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</si>
  <si>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</si>
  <si>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</si>
  <si>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</si>
  <si>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01-01-2026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</si>
  <si>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</si>
  <si>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</si>
  <si>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</si>
  <si>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</si>
  <si>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</si>
  <si>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</si>
  <si>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</si>
  <si>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</si>
  <si>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</si>
  <si>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</si>
  <si>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</si>
  <si>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</si>
  <si>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</si>
  <si>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</si>
  <si>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</si>
  <si>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</si>
  <si>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</si>
  <si>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</si>
  <si>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</si>
  <si>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</si>
  <si>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</si>
  <si>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</si>
  <si>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</si>
  <si>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</si>
  <si>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</si>
  <si>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</si>
  <si>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</si>
  <si>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</si>
  <si>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</si>
  <si>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</si>
  <si>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</si>
  <si>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</si>
  <si>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</si>
  <si>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</si>
  <si>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</si>
  <si>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</si>
  <si>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</si>
  <si>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</si>
  <si>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</si>
  <si>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</si>
  <si>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</si>
  <si>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</si>
  <si>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</si>
  <si>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</si>
  <si>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</si>
  <si>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</si>
  <si>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</si>
  <si>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</si>
  <si>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</si>
  <si>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</si>
  <si>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</si>
  <si>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</si>
  <si>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</si>
  <si>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</si>
  <si>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</si>
  <si>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</si>
  <si>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</si>
  <si>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</si>
  <si>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</si>
  <si>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</si>
  <si>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</si>
  <si>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</si>
  <si>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</si>
  <si>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</si>
  <si>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</si>
  <si>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</si>
  <si>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</si>
  <si>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30851307</t>
  </si>
  <si>
    <t>Акционерное общество "Росатом Инфраструктурные решения", Филиал в г. Новоуральск</t>
  </si>
  <si>
    <t>7706757331</t>
  </si>
  <si>
    <t>775050001</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</si>
  <si>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</si>
  <si>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</si>
  <si>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</si>
  <si>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</si>
  <si>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</si>
  <si>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</si>
  <si>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</si>
  <si>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</si>
  <si>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</si>
  <si>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</si>
  <si>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</si>
  <si>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</si>
  <si>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</si>
  <si>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</si>
  <si>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</si>
  <si>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</si>
  <si>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</si>
  <si>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</si>
  <si>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</si>
  <si>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</si>
  <si>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</si>
  <si>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</si>
  <si>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</si>
  <si>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</si>
  <si>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</si>
  <si>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</si>
  <si>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</si>
  <si>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</si>
  <si>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</si>
  <si>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</si>
  <si>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</si>
  <si>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26359656</t>
  </si>
  <si>
    <t>Акционерное общество "Совхоз "Знаменский", с.Знаменское</t>
  </si>
  <si>
    <t>6633025204</t>
  </si>
  <si>
    <t>663301001</t>
  </si>
  <si>
    <t>01-03-1993 00:00:00</t>
  </si>
  <si>
    <t>21-11-2025 00:00:00</t>
  </si>
  <si>
    <t>26479255</t>
  </si>
  <si>
    <t>Акционерное общество "Стройпластполимер", г.Екатеринбург</t>
  </si>
  <si>
    <t>6664007685</t>
  </si>
  <si>
    <t>03-09-1993 00:00:00</t>
  </si>
  <si>
    <t>31880038</t>
  </si>
  <si>
    <t>Акционерное общество "Тепло Новоуральска"</t>
  </si>
  <si>
    <t>6686169792</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</si>
  <si>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</si>
  <si>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</si>
  <si>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</si>
  <si>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</si>
  <si>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</si>
  <si>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</si>
  <si>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</si>
  <si>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26479520</t>
  </si>
  <si>
    <t>Акционерное общество "Управление тепловыми сетями", г.Верхняя Пышма</t>
  </si>
  <si>
    <t>6606017564</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</si>
  <si>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</si>
  <si>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</si>
  <si>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</si>
  <si>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</si>
  <si>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</si>
  <si>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</si>
  <si>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</si>
  <si>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</si>
  <si>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</si>
  <si>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</si>
  <si>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</si>
  <si>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</si>
  <si>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</si>
  <si>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</si>
  <si>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</si>
  <si>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</si>
  <si>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</si>
  <si>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</si>
  <si>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</si>
  <si>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</si>
  <si>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</si>
  <si>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</si>
  <si>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</si>
  <si>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</si>
  <si>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</si>
  <si>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</si>
  <si>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</si>
  <si>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</si>
  <si>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</si>
  <si>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</si>
  <si>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</si>
  <si>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</si>
  <si>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</si>
  <si>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</si>
  <si>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</si>
  <si>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</si>
  <si>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</si>
  <si>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</si>
  <si>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</si>
  <si>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</si>
  <si>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</si>
  <si>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</si>
  <si>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</si>
  <si>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</si>
  <si>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</si>
  <si>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</si>
  <si>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</si>
  <si>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</si>
  <si>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</si>
  <si>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</si>
  <si>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26359738</t>
  </si>
  <si>
    <t>Акционерное общество Большеистокское ремонтно-техническое предприятие с базой снабжения, п.Большой Исток</t>
  </si>
  <si>
    <t>6652002058</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</si>
  <si>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</si>
  <si>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</si>
  <si>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</si>
  <si>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</si>
  <si>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</si>
  <si>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</si>
  <si>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</si>
  <si>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</si>
  <si>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</si>
  <si>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</si>
  <si>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</si>
  <si>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</si>
  <si>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</si>
  <si>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 г. Волчанск</t>
  </si>
  <si>
    <t>661702001</t>
  </si>
  <si>
    <t>26359609</t>
  </si>
  <si>
    <t>ГАМУ СО "ОСЦМР "Санаторий Руш"</t>
  </si>
  <si>
    <t>6623023198</t>
  </si>
  <si>
    <t>30917264</t>
  </si>
  <si>
    <t>ГАУ "Березовский ПНИ"</t>
  </si>
  <si>
    <t>6604004048</t>
  </si>
  <si>
    <t>31324454</t>
  </si>
  <si>
    <t>ГАУЗ СО "ОСЦМР "Санаторий "Обуховский"</t>
  </si>
  <si>
    <t>6633027900</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</si>
  <si>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</si>
  <si>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</si>
  <si>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</si>
  <si>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</si>
  <si>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</si>
  <si>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</si>
  <si>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</si>
  <si>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</si>
  <si>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</si>
  <si>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</si>
  <si>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</si>
  <si>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</si>
  <si>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</si>
  <si>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</si>
  <si>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27970709</t>
  </si>
  <si>
    <t>Государственное автономное учреждение здравоохранения Свердловской области "Областная детская клиническая больница", г. Екатеринбург</t>
  </si>
  <si>
    <t>6661002199</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</si>
  <si>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</si>
  <si>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</si>
  <si>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</si>
  <si>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27583516</t>
  </si>
  <si>
    <t>Государственное автономное учреждение здравоохранения Свердловской области "Областная специализированная больница медицинской реабилитации "МАЯН", г.Талица</t>
  </si>
  <si>
    <t>6654006354</t>
  </si>
  <si>
    <t>03-03-2025 00:00:00</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</si>
  <si>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</si>
  <si>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</si>
  <si>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</si>
  <si>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</si>
  <si>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</si>
  <si>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</si>
  <si>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</si>
  <si>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</si>
  <si>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</si>
  <si>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</si>
  <si>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</si>
  <si>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</si>
  <si>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</si>
  <si>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</si>
  <si>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31340976</t>
  </si>
  <si>
    <t>Государственное бюджетное профессиональное образовательное учреждение Свердловской области "Туринский многопрофильный техникум"</t>
  </si>
  <si>
    <t>6656002651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</si>
  <si>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</si>
  <si>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</si>
  <si>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</si>
  <si>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</si>
  <si>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</si>
  <si>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</si>
  <si>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</si>
  <si>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26631881</t>
  </si>
  <si>
    <t>Государственное казенное образовательное учреждение Свердловской области "Черноусовская специальная (коррекционная) школа-интернат для детей с ограниченными возможностями здоровья", с. Черноусово</t>
  </si>
  <si>
    <t>6639008928</t>
  </si>
  <si>
    <t>663901001</t>
  </si>
  <si>
    <t>17-02-2025 00:00:00</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</si>
  <si>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</si>
  <si>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</si>
  <si>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</si>
  <si>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</si>
  <si>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</si>
  <si>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</si>
  <si>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</si>
  <si>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</si>
  <si>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</si>
  <si>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</si>
  <si>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</si>
  <si>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</si>
  <si>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</si>
  <si>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</si>
  <si>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26479387</t>
  </si>
  <si>
    <t>Екатеринбургская таможня, г.Екатеринбург</t>
  </si>
  <si>
    <t>6662022335</t>
  </si>
  <si>
    <t>26479241</t>
  </si>
  <si>
    <t>Екатеринбургское муниципальное унитарное предприятие "Екатеринбургский метрополитен", г.Екатеринбург</t>
  </si>
  <si>
    <t>6608002436</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</si>
  <si>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</si>
  <si>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</si>
  <si>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</si>
  <si>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</si>
  <si>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</si>
  <si>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</si>
  <si>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</si>
  <si>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</si>
  <si>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</si>
  <si>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</si>
  <si>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</si>
  <si>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</si>
  <si>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</si>
  <si>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</si>
  <si>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</si>
  <si>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</si>
  <si>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</si>
  <si>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</si>
  <si>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</si>
  <si>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</si>
  <si>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</si>
  <si>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14-01-2026 00:00:00</t>
  </si>
  <si>
    <t>26851231</t>
  </si>
  <si>
    <t>Закрытое акционерное общество "Уралдиоксид", г.Екатеринбург</t>
  </si>
  <si>
    <t>6659109603</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</si>
  <si>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</si>
  <si>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</si>
  <si>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</si>
  <si>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</si>
  <si>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</si>
  <si>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</si>
  <si>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</si>
  <si>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</si>
  <si>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</si>
  <si>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</si>
  <si>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</si>
  <si>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</si>
  <si>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</si>
  <si>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</si>
  <si>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</si>
  <si>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</si>
  <si>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</si>
  <si>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</si>
  <si>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</si>
  <si>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</si>
  <si>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</si>
  <si>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</si>
  <si>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</si>
  <si>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</si>
  <si>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</si>
  <si>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</si>
  <si>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</si>
  <si>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</si>
  <si>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</si>
  <si>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</si>
  <si>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</si>
  <si>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</si>
  <si>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</si>
  <si>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</si>
  <si>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</si>
  <si>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</si>
  <si>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</si>
  <si>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</si>
  <si>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26482358</t>
  </si>
  <si>
    <t>Индивидуальный предприниматель Камень Михаил Николаевич, г.Ирбит</t>
  </si>
  <si>
    <t>661100301343</t>
  </si>
  <si>
    <t>25-06-2025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</si>
  <si>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</si>
  <si>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</si>
  <si>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</si>
  <si>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</si>
  <si>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</si>
  <si>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</si>
  <si>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</si>
  <si>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</si>
  <si>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</si>
  <si>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</si>
  <si>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</si>
  <si>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</si>
  <si>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</si>
  <si>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</si>
  <si>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</si>
  <si>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</si>
  <si>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</si>
  <si>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 с.Черновское</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</si>
  <si>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</si>
  <si>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</si>
  <si>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</si>
  <si>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</si>
  <si>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</si>
  <si>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</si>
  <si>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</si>
  <si>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</si>
  <si>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</si>
  <si>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</si>
  <si>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</si>
  <si>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31762971</t>
  </si>
  <si>
    <t>МКУ "ЖКХ МО Староуткинск"</t>
  </si>
  <si>
    <t>6684046604</t>
  </si>
  <si>
    <t>15-07-2025 00:00:00</t>
  </si>
  <si>
    <t>31860871</t>
  </si>
  <si>
    <t>МКУ "Управление ЖКХ и ОДОМС", пгт Староуткинск</t>
  </si>
  <si>
    <t>6684048471</t>
  </si>
  <si>
    <t>31767361</t>
  </si>
  <si>
    <t>МКУ ЖКХ Калиновского сельского поселения</t>
  </si>
  <si>
    <t>6683023210</t>
  </si>
  <si>
    <t>26322687</t>
  </si>
  <si>
    <t>МУП "АрамильЭнерго"</t>
  </si>
  <si>
    <t>6652023322</t>
  </si>
  <si>
    <t>31601739</t>
  </si>
  <si>
    <t>МУП "Горноуральская теплоснабжающая компания"</t>
  </si>
  <si>
    <t>6623140695</t>
  </si>
  <si>
    <t>31878933</t>
  </si>
  <si>
    <t>МУП "ДКС"</t>
  </si>
  <si>
    <t>6684048739</t>
  </si>
  <si>
    <t>28044397</t>
  </si>
  <si>
    <t>МУП "Единая управляющая организация"</t>
  </si>
  <si>
    <t>6633019176</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</si>
  <si>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</si>
  <si>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</si>
  <si>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</si>
  <si>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</si>
  <si>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</si>
  <si>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</si>
  <si>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</si>
  <si>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</si>
  <si>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</si>
  <si>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</si>
  <si>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</si>
  <si>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</si>
  <si>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</si>
  <si>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</si>
  <si>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</si>
  <si>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</si>
  <si>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</si>
  <si>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</si>
  <si>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</si>
  <si>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</si>
  <si>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</si>
  <si>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</si>
  <si>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</si>
  <si>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</si>
  <si>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</si>
  <si>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</si>
  <si>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</si>
  <si>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</si>
  <si>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</si>
  <si>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</si>
  <si>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</si>
  <si>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</si>
  <si>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</si>
  <si>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</si>
  <si>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</si>
  <si>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</si>
  <si>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</si>
  <si>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</si>
  <si>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</si>
  <si>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</si>
  <si>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</si>
  <si>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</si>
  <si>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</si>
  <si>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</si>
  <si>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</si>
  <si>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28140034</t>
  </si>
  <si>
    <t>МУП "УЖКХ И АТ ТМО"</t>
  </si>
  <si>
    <t>6633019666</t>
  </si>
  <si>
    <t>28820960</t>
  </si>
  <si>
    <t>МУП "Управляющая компания "Потенциал", г. Верхний Тагил</t>
  </si>
  <si>
    <t>6621015963</t>
  </si>
  <si>
    <t>24-10-2014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</si>
  <si>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</si>
  <si>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</si>
  <si>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</si>
  <si>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</si>
  <si>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</si>
  <si>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</si>
  <si>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31903753</t>
  </si>
  <si>
    <t>МУП «УКР»</t>
  </si>
  <si>
    <t>6686170220</t>
  </si>
  <si>
    <t>31737759</t>
  </si>
  <si>
    <t>МУП Верхнесалдинского муниципального округа "Верхнесалдинские коммунальные системы"</t>
  </si>
  <si>
    <t>6623144562</t>
  </si>
  <si>
    <t>28054322</t>
  </si>
  <si>
    <t>МУП ЖКХ "Тепло-энерго цех № 1"</t>
  </si>
  <si>
    <t>6676001303</t>
  </si>
  <si>
    <t>31775892</t>
  </si>
  <si>
    <t>МУП КГО "Коммунальный сервис"</t>
  </si>
  <si>
    <t>6612059516</t>
  </si>
  <si>
    <t>31856165</t>
  </si>
  <si>
    <t>МУП Кушвинского МО "ТЕПЛОДОМ"</t>
  </si>
  <si>
    <t>6681003592</t>
  </si>
  <si>
    <t>31194594</t>
  </si>
  <si>
    <t>МУП ТМО "Теплоресурс"</t>
  </si>
  <si>
    <t>6633027113</t>
  </si>
  <si>
    <t>30982441</t>
  </si>
  <si>
    <t>МУП ТМО СО "Тавдинские инженерные системы"</t>
  </si>
  <si>
    <t>6676005900</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</si>
  <si>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</si>
  <si>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</si>
  <si>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</si>
  <si>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</si>
  <si>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</si>
  <si>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</si>
  <si>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</si>
  <si>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</si>
  <si>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</si>
  <si>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</si>
  <si>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</si>
  <si>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</si>
  <si>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</si>
  <si>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</si>
  <si>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</si>
  <si>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</si>
  <si>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</si>
  <si>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</si>
  <si>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</si>
  <si>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</si>
  <si>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</si>
  <si>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</si>
  <si>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</si>
  <si>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</si>
  <si>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</si>
  <si>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</si>
  <si>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</si>
  <si>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</si>
  <si>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</si>
  <si>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</si>
  <si>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</si>
  <si>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</si>
  <si>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</si>
  <si>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</si>
  <si>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</si>
  <si>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</si>
  <si>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</si>
  <si>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</si>
  <si>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</si>
  <si>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</si>
  <si>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</si>
  <si>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</si>
  <si>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</si>
  <si>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</si>
  <si>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</si>
  <si>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</si>
  <si>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26359523</t>
  </si>
  <si>
    <t>Муниципальное унитарное объединенное предприятие "Рефтинское" городского округа Рефтинский, п.Рефтинский</t>
  </si>
  <si>
    <t>6603020368</t>
  </si>
  <si>
    <t>27786391</t>
  </si>
  <si>
    <t>Муниципальное унитарное предприятие "Арамиль-Тепло", г.Арамиль</t>
  </si>
  <si>
    <t>6685012118</t>
  </si>
  <si>
    <t>15-06-2012 00:00:00</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</si>
  <si>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</si>
  <si>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</si>
  <si>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</si>
  <si>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</si>
  <si>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</si>
  <si>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</si>
  <si>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</si>
  <si>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</si>
  <si>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</si>
  <si>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</si>
  <si>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</si>
  <si>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</si>
  <si>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</si>
  <si>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</si>
  <si>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</si>
  <si>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26479450</t>
  </si>
  <si>
    <t>Муниципальное унитарное предприятие "Екатеринбургэнерго", г.Екатеринбург</t>
  </si>
  <si>
    <t>6608002884</t>
  </si>
  <si>
    <t>27-11-1991 00:00:00</t>
  </si>
  <si>
    <t>26850711</t>
  </si>
  <si>
    <t>Муниципальное унитарное предприятие "Жилищно-коммунальное хозяйство Ирбитского района", п.Пионерский</t>
  </si>
  <si>
    <t>6611014336</t>
  </si>
  <si>
    <t>30365914</t>
  </si>
  <si>
    <t>Муниципальное унитарное предприятие "Жилищно-коммунальное хозяйство Наш дом" Кленовского сельского поселения, с. Кленовское</t>
  </si>
  <si>
    <t>6619016857</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</si>
  <si>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</si>
  <si>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</si>
  <si>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</si>
  <si>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</si>
  <si>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26382715</t>
  </si>
  <si>
    <t>Муниципальное унитарное предприятие "Жилищно-коммунальное хозяйство" МО "р.п.Верхнее Дуброво", р.п.Верхнее Дуброво</t>
  </si>
  <si>
    <t>6639009336</t>
  </si>
  <si>
    <t>04-11-2002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</si>
  <si>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</si>
  <si>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</si>
  <si>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</si>
  <si>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30418950</t>
  </si>
  <si>
    <t>Муниципальное унитарное предприятие "Жилищно-коммунальное хозяйство" муниципального образования рабочий поселок Атиг, п. Атиг</t>
  </si>
  <si>
    <t>6619017667</t>
  </si>
  <si>
    <t>26631942</t>
  </si>
  <si>
    <t>Муниципальное унитарное предприятие "Жилкомсервис" Усть-Ницинского сельского поселения, с.Усть-Ницинское</t>
  </si>
  <si>
    <t>6656019366</t>
  </si>
  <si>
    <t>25-02-2009 00:00:00</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</si>
  <si>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</si>
  <si>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</si>
  <si>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</si>
  <si>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</si>
  <si>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</si>
  <si>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</si>
  <si>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</si>
  <si>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</si>
  <si>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27916318</t>
  </si>
  <si>
    <t>Муниципальное унитарное предприятие "Каменская сетевая компания", г. Каменск-Уральский</t>
  </si>
  <si>
    <t>6612038259</t>
  </si>
  <si>
    <t>18-02-2025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</si>
  <si>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</si>
  <si>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</si>
  <si>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</si>
  <si>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</si>
  <si>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</si>
  <si>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</si>
  <si>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</si>
  <si>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</si>
  <si>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26359734</t>
  </si>
  <si>
    <t>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</si>
  <si>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6651004260</t>
  </si>
  <si>
    <t>29650655</t>
  </si>
  <si>
    <t>Муниципальное унитарное предприятие "Новые технологии" Белоярского городского округа, р.л. Белоярский</t>
  </si>
  <si>
    <t>6683008067</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</si>
  <si>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</si>
  <si>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</si>
  <si>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</si>
  <si>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</si>
  <si>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</si>
  <si>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t>
  </si>
  <si>
    <t>6623111077</t>
  </si>
  <si>
    <t>17-08-2015 00:00:00</t>
  </si>
  <si>
    <t>28982889</t>
  </si>
  <si>
    <t>Муниципальное унитарное предприятие "Ресурс", г. Карпинск</t>
  </si>
  <si>
    <t>6614001840</t>
  </si>
  <si>
    <t>27-07-2015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</si>
  <si>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</si>
  <si>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</si>
  <si>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</si>
  <si>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</si>
  <si>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</si>
  <si>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</si>
  <si>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</si>
  <si>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</si>
  <si>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</si>
  <si>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</si>
  <si>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</si>
  <si>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</si>
  <si>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</si>
  <si>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</si>
  <si>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</si>
  <si>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26480982</t>
  </si>
  <si>
    <t>Муниципальное унитарное предприятие "Тагилэнерго", г.Нижний Тагил</t>
  </si>
  <si>
    <t>6668016401</t>
  </si>
  <si>
    <t>28966419</t>
  </si>
  <si>
    <t>Муниципальное унитарное предприятие "Тепловые сети Верхние Серги", п. Верхние Серги</t>
  </si>
  <si>
    <t>6619016705</t>
  </si>
  <si>
    <t>07-05-2015 00:00:00</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</si>
  <si>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</si>
  <si>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</si>
  <si>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</si>
  <si>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</si>
  <si>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</si>
  <si>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</si>
  <si>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</si>
  <si>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</si>
  <si>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</si>
  <si>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</si>
  <si>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</si>
  <si>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</si>
  <si>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</si>
  <si>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</si>
  <si>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</si>
  <si>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26850791</t>
  </si>
  <si>
    <t>Муниципальное унитарное предприятие "Управление коммунальным комплексом", г.Краснотурьинск</t>
  </si>
  <si>
    <t>6617009318</t>
  </si>
  <si>
    <t>14-07-2004 00:00:00</t>
  </si>
  <si>
    <t>28829233</t>
  </si>
  <si>
    <t>Муниципальное унитарное предприятие "Энергоресурс г. Нижние Серги", г. Нижние Серги</t>
  </si>
  <si>
    <t>6619016670</t>
  </si>
  <si>
    <t>25-11-2014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</si>
  <si>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</si>
  <si>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</si>
  <si>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</si>
  <si>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</si>
  <si>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</si>
  <si>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</si>
  <si>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</si>
  <si>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</si>
  <si>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28141262</t>
  </si>
  <si>
    <t>Муниципальное унитарное предприятие Артемовского городского округа "Прогресс", г. Артемовский</t>
  </si>
  <si>
    <t>6677002412</t>
  </si>
  <si>
    <t>12-04-2013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</si>
  <si>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</si>
  <si>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</si>
  <si>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</si>
  <si>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</si>
  <si>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</si>
  <si>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</si>
  <si>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</si>
  <si>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</si>
  <si>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</si>
  <si>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</si>
  <si>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</si>
  <si>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26359638</t>
  </si>
  <si>
    <t>Муниципальное унитарное предприятие Новоуральского городского округа "Водогрейная котельная", г.Новоуральск</t>
  </si>
  <si>
    <t>6629012989</t>
  </si>
  <si>
    <t>02-10-2025 00:00:00</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</si>
  <si>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</si>
  <si>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</si>
  <si>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</si>
  <si>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</si>
  <si>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муниципального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</si>
  <si>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</si>
  <si>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</si>
  <si>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</si>
  <si>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</si>
  <si>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</si>
  <si>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</si>
  <si>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28545529</t>
  </si>
  <si>
    <t>Муниципальное унитарное предприятие Талицкого городского округа "Теплосетевая компания", г. Талица</t>
  </si>
  <si>
    <t>6633021369</t>
  </si>
  <si>
    <t>10-07-2014 00:00:00</t>
  </si>
  <si>
    <t>10-06-2025 00:00:00</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</si>
  <si>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</si>
  <si>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</si>
  <si>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</si>
  <si>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</si>
  <si>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</si>
  <si>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</si>
  <si>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</si>
  <si>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</si>
  <si>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</si>
  <si>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</si>
  <si>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</si>
  <si>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</si>
  <si>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</si>
  <si>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</si>
  <si>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</si>
  <si>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</si>
  <si>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</si>
  <si>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</si>
  <si>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</si>
  <si>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</si>
  <si>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</si>
  <si>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</si>
  <si>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</si>
  <si>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</si>
  <si>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</si>
  <si>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</si>
  <si>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27887387</t>
  </si>
  <si>
    <t>Муниципальное унитарное предприятие жилищно-коммунального хозяйства "Теплосеть", г. Туринск</t>
  </si>
  <si>
    <t>6676001127</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</si>
  <si>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</si>
  <si>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</si>
  <si>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</si>
  <si>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</si>
  <si>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</si>
  <si>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</si>
  <si>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</si>
  <si>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</si>
  <si>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</si>
  <si>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</si>
  <si>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</si>
  <si>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</si>
  <si>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26359675</t>
  </si>
  <si>
    <t>Муниципальное унитарное предприятие жилищно-коммунального хозяйства Ачитского муниципального округа, п.Ачит</t>
  </si>
  <si>
    <t>6637000320</t>
  </si>
  <si>
    <t>13-05-1999 00:00:00</t>
  </si>
  <si>
    <t>26479187</t>
  </si>
  <si>
    <t>Муниципальное унитарное предприятие жилищно-коммунальных услуг р.п.Бисерть, п.Бисерть</t>
  </si>
  <si>
    <t>6646014785</t>
  </si>
  <si>
    <t>664601001</t>
  </si>
  <si>
    <t>28275696</t>
  </si>
  <si>
    <t>Муниципальное унитарное предприятие муниципального округа Заречный "Теплоцентраль", г. Заречный</t>
  </si>
  <si>
    <t>6683003870</t>
  </si>
  <si>
    <t>14-10-2013 00:00:00</t>
  </si>
  <si>
    <t>26359644</t>
  </si>
  <si>
    <t>Муниципальное унитарное предприятие с.Андриановичи, с.Андриановичи</t>
  </si>
  <si>
    <t>6632018701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</si>
  <si>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</si>
  <si>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</si>
  <si>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</si>
  <si>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</si>
  <si>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</si>
  <si>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</si>
  <si>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</si>
  <si>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</si>
  <si>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</si>
  <si>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</si>
  <si>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</si>
  <si>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</si>
  <si>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</si>
  <si>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</si>
  <si>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26479480</t>
  </si>
  <si>
    <t>ОАО "СКХП"</t>
  </si>
  <si>
    <t>6662001134</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</si>
  <si>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</si>
  <si>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</si>
  <si>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</si>
  <si>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</si>
  <si>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</si>
  <si>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</si>
  <si>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</si>
  <si>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</si>
  <si>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</si>
  <si>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</si>
  <si>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</si>
  <si>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</si>
  <si>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</si>
  <si>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</si>
  <si>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</si>
  <si>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</si>
  <si>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28106478</t>
  </si>
  <si>
    <t>ООО "АтомТеплоЭлектроСеть" - Зареченский филиал ООО "АтомТеплоЭлектроСеть"</t>
  </si>
  <si>
    <t>7705923730</t>
  </si>
  <si>
    <t>663943001</t>
  </si>
  <si>
    <t>31771990</t>
  </si>
  <si>
    <t>ООО "Березовские тепловые сети"</t>
  </si>
  <si>
    <t>6678139473</t>
  </si>
  <si>
    <t>31648177</t>
  </si>
  <si>
    <t>ООО "Богдановичская Генерирующая Компания"</t>
  </si>
  <si>
    <t>6633029960</t>
  </si>
  <si>
    <t>31237649</t>
  </si>
  <si>
    <t>ООО "ВодоКаналСервис"</t>
  </si>
  <si>
    <t>6686109610</t>
  </si>
  <si>
    <t>31817670</t>
  </si>
  <si>
    <t>ООО "Газовая сервисная компания"</t>
  </si>
  <si>
    <t>6658567008</t>
  </si>
  <si>
    <t>30985686</t>
  </si>
  <si>
    <t>ООО "Гефест"</t>
  </si>
  <si>
    <t>6680007361</t>
  </si>
  <si>
    <t>31449842</t>
  </si>
  <si>
    <t>ООО "Горноуральская Компания Теплоресурс"</t>
  </si>
  <si>
    <t>6623135261</t>
  </si>
  <si>
    <t>31768361</t>
  </si>
  <si>
    <t>ООО "Городской застройщик"</t>
  </si>
  <si>
    <t>6670524547</t>
  </si>
  <si>
    <t>31889852</t>
  </si>
  <si>
    <t>ООО "ЕТК"</t>
  </si>
  <si>
    <t>6678140581</t>
  </si>
  <si>
    <t>30930477</t>
  </si>
  <si>
    <t>ООО "Зареченское"</t>
  </si>
  <si>
    <t>6633025490</t>
  </si>
  <si>
    <t>31322632</t>
  </si>
  <si>
    <t>ООО "ИНЕКТЕПЛО"</t>
  </si>
  <si>
    <t>6685159304</t>
  </si>
  <si>
    <t>30984337</t>
  </si>
  <si>
    <t>ООО "Источник", г. Екатеринбург</t>
  </si>
  <si>
    <t>6685092064</t>
  </si>
  <si>
    <t>31727699</t>
  </si>
  <si>
    <t>ООО "КИТ Екатеринбург"</t>
  </si>
  <si>
    <t>6671261763</t>
  </si>
  <si>
    <t>31213988</t>
  </si>
  <si>
    <t>ООО "Комфортный город"</t>
  </si>
  <si>
    <t>6685146231</t>
  </si>
  <si>
    <t>31223510</t>
  </si>
  <si>
    <t>ООО "Корал"</t>
  </si>
  <si>
    <t>6671342363</t>
  </si>
  <si>
    <t>31909761</t>
  </si>
  <si>
    <t>ООО "МЭС"</t>
  </si>
  <si>
    <t>6686164466</t>
  </si>
  <si>
    <t>30386705</t>
  </si>
  <si>
    <t>ООО "Магнитогорская Сетевая Компания"</t>
  </si>
  <si>
    <t>7444059016</t>
  </si>
  <si>
    <t>745601001</t>
  </si>
  <si>
    <t>03-09-2008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</si>
  <si>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</si>
  <si>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</si>
  <si>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</si>
  <si>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</si>
  <si>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</si>
  <si>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</si>
  <si>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</si>
  <si>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</si>
  <si>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</si>
  <si>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</si>
  <si>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</si>
  <si>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</si>
  <si>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</si>
  <si>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</si>
  <si>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</si>
  <si>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</si>
  <si>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</si>
  <si>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</si>
  <si>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</si>
  <si>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</si>
  <si>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</si>
  <si>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</si>
  <si>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</si>
  <si>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</si>
  <si>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</si>
  <si>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</si>
  <si>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31242935</t>
  </si>
  <si>
    <t>ООО "Перспектива +", г. Березовский</t>
  </si>
  <si>
    <t>6678003000</t>
  </si>
  <si>
    <t>16-04-2025 00:00:00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</si>
  <si>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</si>
  <si>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</si>
  <si>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</si>
  <si>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</si>
  <si>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</si>
  <si>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</si>
  <si>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</si>
  <si>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</si>
  <si>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</si>
  <si>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</si>
  <si>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</si>
  <si>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</si>
  <si>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</si>
  <si>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</si>
  <si>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</si>
  <si>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</si>
  <si>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 г. Екатеринбург</t>
  </si>
  <si>
    <t>6670293018</t>
  </si>
  <si>
    <t>31392421</t>
  </si>
  <si>
    <t>ООО "СЛК Цемент"</t>
  </si>
  <si>
    <t>6633028244</t>
  </si>
  <si>
    <t>31444128</t>
  </si>
  <si>
    <t>ООО "СТК"</t>
  </si>
  <si>
    <t>6685127528</t>
  </si>
  <si>
    <t>31512437</t>
  </si>
  <si>
    <t>ООО "Северо-Восточная Тепло Транспортная Компания"</t>
  </si>
  <si>
    <t>6671152411</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</si>
  <si>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</si>
  <si>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</si>
  <si>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</si>
  <si>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</si>
  <si>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</si>
  <si>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</si>
  <si>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</si>
  <si>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</si>
  <si>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</si>
  <si>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31641237</t>
  </si>
  <si>
    <t>ООО "ТеплоКомфорт"</t>
  </si>
  <si>
    <t>6678124117</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</si>
  <si>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</si>
  <si>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</si>
  <si>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</si>
  <si>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</si>
  <si>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</si>
  <si>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</si>
  <si>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</si>
  <si>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</si>
  <si>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</si>
  <si>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</si>
  <si>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</si>
  <si>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</si>
  <si>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</si>
  <si>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31347851</t>
  </si>
  <si>
    <t>ООО "Теплоэнергосервис", г. Екатеринбург</t>
  </si>
  <si>
    <t>6671017532</t>
  </si>
  <si>
    <t>13-10-2025 00:00:00</t>
  </si>
  <si>
    <t>31667251</t>
  </si>
  <si>
    <t>ООО "ТоргПласт"</t>
  </si>
  <si>
    <t>6673165590</t>
  </si>
  <si>
    <t>26632558</t>
  </si>
  <si>
    <t>ООО "УВМ Урал", г.Екатеринбург</t>
  </si>
  <si>
    <t>6674342481</t>
  </si>
  <si>
    <t>31742739</t>
  </si>
  <si>
    <t>ООО "УЖК "Территория-Запад"</t>
  </si>
  <si>
    <t>6679041135</t>
  </si>
  <si>
    <t>26850864</t>
  </si>
  <si>
    <t>ООО "УК "Новая территория"</t>
  </si>
  <si>
    <t>6658310965</t>
  </si>
  <si>
    <t>14-04-2008 00:00:00</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</si>
  <si>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</si>
  <si>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</si>
  <si>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</si>
  <si>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</si>
  <si>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</si>
  <si>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</si>
  <si>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</si>
  <si>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</si>
  <si>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</si>
  <si>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</si>
  <si>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</si>
  <si>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</si>
  <si>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</si>
  <si>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</si>
  <si>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</si>
  <si>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</si>
  <si>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</si>
  <si>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</si>
  <si>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</si>
  <si>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</si>
  <si>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</si>
  <si>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28881099</t>
  </si>
  <si>
    <t>ООО "Химмаш Энерго", г. Екатеринбург</t>
  </si>
  <si>
    <t>6679059460</t>
  </si>
  <si>
    <t>04-02-2015 00:00:00</t>
  </si>
  <si>
    <t>30851433</t>
  </si>
  <si>
    <t>ООО "Химмаштеплосбыт"</t>
  </si>
  <si>
    <t>6671466376</t>
  </si>
  <si>
    <t>30998364</t>
  </si>
  <si>
    <t>ООО "Центр подготовки разрешительной документации", г. Екатеринбург</t>
  </si>
  <si>
    <t>6658192447</t>
  </si>
  <si>
    <t>31174860</t>
  </si>
  <si>
    <t>ООО "Центр развития муниципальных образований", г.Екатеринбург</t>
  </si>
  <si>
    <t>6679094112</t>
  </si>
  <si>
    <t>11-09-2025 00:00:00</t>
  </si>
  <si>
    <t>31573848</t>
  </si>
  <si>
    <t>ООО "Чистая вода"</t>
  </si>
  <si>
    <t>6679127872</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</si>
  <si>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</si>
  <si>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</si>
  <si>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</si>
  <si>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</si>
  <si>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</si>
  <si>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</si>
  <si>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</si>
  <si>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</si>
  <si>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</si>
  <si>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</si>
  <si>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</si>
  <si>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</si>
  <si>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</si>
  <si>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</si>
  <si>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</si>
  <si>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</si>
  <si>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</si>
  <si>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</si>
  <si>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</si>
  <si>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</si>
  <si>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</si>
  <si>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</si>
  <si>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</si>
  <si>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</si>
  <si>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</si>
  <si>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</si>
  <si>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</si>
  <si>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</si>
  <si>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</si>
  <si>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</si>
  <si>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</si>
  <si>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</si>
  <si>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</si>
  <si>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</si>
  <si>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</si>
  <si>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</si>
  <si>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</si>
  <si>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</si>
  <si>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</si>
  <si>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</si>
  <si>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</si>
  <si>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</si>
  <si>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</si>
  <si>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</si>
  <si>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</si>
  <si>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</si>
  <si>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</si>
  <si>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</si>
  <si>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</si>
  <si>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</si>
  <si>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</si>
  <si>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</si>
  <si>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</si>
  <si>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</si>
  <si>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</si>
  <si>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</si>
  <si>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</si>
  <si>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</si>
  <si>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</si>
  <si>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</si>
  <si>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</si>
  <si>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</si>
  <si>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31890830</t>
  </si>
  <si>
    <t>ООО СЗ "ДИККИТ"</t>
  </si>
  <si>
    <t>6670468444</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</si>
  <si>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</si>
  <si>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</si>
  <si>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</si>
  <si>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</si>
  <si>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</si>
  <si>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</si>
  <si>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</si>
  <si>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</si>
  <si>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</si>
  <si>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</si>
  <si>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</si>
  <si>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</si>
  <si>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31878649</t>
  </si>
  <si>
    <t>ООО УК «АЛЬТЕРНАТИВА-СЕРОВ»</t>
  </si>
  <si>
    <t>6680008855</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</si>
  <si>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</si>
  <si>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</si>
  <si>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</si>
  <si>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</si>
  <si>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</si>
  <si>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</si>
  <si>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</si>
  <si>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</si>
  <si>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</si>
  <si>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</si>
  <si>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</si>
  <si>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</si>
  <si>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</si>
  <si>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</si>
  <si>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</si>
  <si>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</si>
  <si>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</si>
  <si>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26631948</t>
  </si>
  <si>
    <t>Общество с ограниченной ответственностью "Автоматизированные газовые котельные", г.Екатеринбург</t>
  </si>
  <si>
    <t>6607013026</t>
  </si>
  <si>
    <t>16-07-2025 00:00:00</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</si>
  <si>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</si>
  <si>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</si>
  <si>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</si>
  <si>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</si>
  <si>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</si>
  <si>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</si>
  <si>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</si>
  <si>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</si>
  <si>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</si>
  <si>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</si>
  <si>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</si>
  <si>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</si>
  <si>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</si>
  <si>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</si>
  <si>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</si>
  <si>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</si>
  <si>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</si>
  <si>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</si>
  <si>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</si>
  <si>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</si>
  <si>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</si>
  <si>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</si>
  <si>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</si>
  <si>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26631816</t>
  </si>
  <si>
    <t>Общество с ограниченной ответственностью "АятьКоммуналСервис", п.Аять</t>
  </si>
  <si>
    <t>6621014494</t>
  </si>
  <si>
    <t>21-01-2008 00:00:00</t>
  </si>
  <si>
    <t>24-10-2025 00:00:00</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</si>
  <si>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</si>
  <si>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</si>
  <si>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</si>
  <si>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</si>
  <si>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</si>
  <si>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</si>
  <si>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</si>
  <si>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26359527</t>
  </si>
  <si>
    <t>Общество с ограниченной ответственностью "Березовский рудник"</t>
  </si>
  <si>
    <t>6604011599</t>
  </si>
  <si>
    <t>22-01-2002 00:00:00</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</si>
  <si>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</si>
  <si>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</si>
  <si>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</si>
  <si>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</si>
  <si>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</si>
  <si>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</si>
  <si>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26322681</t>
  </si>
  <si>
    <t>Общество с ограниченной ответственностью "Ветта-Инвест", г.Екатеринбург</t>
  </si>
  <si>
    <t>6670060260</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</si>
  <si>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</si>
  <si>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</si>
  <si>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</si>
  <si>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</si>
  <si>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</si>
  <si>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</si>
  <si>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</si>
  <si>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</si>
  <si>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</si>
  <si>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</si>
  <si>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</si>
  <si>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</si>
  <si>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</si>
  <si>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</si>
  <si>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</si>
  <si>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</si>
  <si>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</si>
  <si>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</si>
  <si>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</si>
  <si>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</si>
  <si>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</si>
  <si>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</si>
  <si>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</si>
  <si>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</si>
  <si>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</si>
  <si>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</si>
  <si>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</si>
  <si>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</si>
  <si>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</si>
  <si>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</si>
  <si>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</si>
  <si>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</si>
  <si>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</si>
  <si>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</si>
  <si>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</si>
  <si>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</si>
  <si>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</si>
  <si>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</si>
  <si>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</si>
  <si>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</si>
  <si>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26631928</t>
  </si>
  <si>
    <t>Общество с ограниченной ответственностью "Гарант+", п.Троицкий</t>
  </si>
  <si>
    <t>6654011450</t>
  </si>
  <si>
    <t>665401001</t>
  </si>
  <si>
    <t>02-04-2025 00:00:00</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</si>
  <si>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</si>
  <si>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</si>
  <si>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</si>
  <si>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</si>
  <si>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</si>
  <si>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</si>
  <si>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</si>
  <si>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</si>
  <si>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</si>
  <si>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</si>
  <si>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</si>
  <si>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</si>
  <si>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</si>
  <si>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</si>
  <si>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</si>
  <si>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</si>
  <si>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</si>
  <si>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</si>
  <si>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30479082</t>
  </si>
  <si>
    <t>Общество с ограниченной ответственностью "Завод бутилированных вод "Квадра"</t>
  </si>
  <si>
    <t>6684007193</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</si>
  <si>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</si>
  <si>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</si>
  <si>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</si>
  <si>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</si>
  <si>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</si>
  <si>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</si>
  <si>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</si>
  <si>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</si>
  <si>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</si>
  <si>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</si>
  <si>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</si>
  <si>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</si>
  <si>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</si>
  <si>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</si>
  <si>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</si>
  <si>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</si>
  <si>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</si>
  <si>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26632541</t>
  </si>
  <si>
    <t>Общество с ограниченной ответственностью "КомСервис", г.Екатеринбург</t>
  </si>
  <si>
    <t>6672248187</t>
  </si>
  <si>
    <t>667201001</t>
  </si>
  <si>
    <t>14-05-2025 00:00:00</t>
  </si>
  <si>
    <t>28546107</t>
  </si>
  <si>
    <t>Общество с ограниченной ответственностью "КомЭнергоСервис", г. Полевской</t>
  </si>
  <si>
    <t>6685031784</t>
  </si>
  <si>
    <t>15-07-2014 00:00:00</t>
  </si>
  <si>
    <t>14-11-2025 00:00:00</t>
  </si>
  <si>
    <t>26479589</t>
  </si>
  <si>
    <t>Общество с ограниченной ответственностью "Коммунально-эксплуатационное предприятие", г.Екатеринбург</t>
  </si>
  <si>
    <t>6672158470</t>
  </si>
  <si>
    <t>28425591</t>
  </si>
  <si>
    <t>Общество с ограниченной ответственностью "Комплексные решения", г. Екатеринбург</t>
  </si>
  <si>
    <t>6671426937</t>
  </si>
  <si>
    <t>13-11-2013 00:00:00</t>
  </si>
  <si>
    <t>03-02-2025 00:00:00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</si>
  <si>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</si>
  <si>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</si>
  <si>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</si>
  <si>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</si>
  <si>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</si>
  <si>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</si>
  <si>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</si>
  <si>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</si>
  <si>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</si>
  <si>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</si>
  <si>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</si>
  <si>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</si>
  <si>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</si>
  <si>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</si>
  <si>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</si>
  <si>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</si>
  <si>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</si>
  <si>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30384063</t>
  </si>
  <si>
    <t>Общество с ограниченной ответственностью "Лестех", п. Верхняя Синячиха</t>
  </si>
  <si>
    <t>6601015620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</si>
  <si>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</si>
  <si>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</si>
  <si>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</si>
  <si>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</si>
  <si>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</si>
  <si>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</si>
  <si>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</si>
  <si>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</si>
  <si>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</si>
  <si>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06-02-2026 00:00:00</t>
  </si>
  <si>
    <t>26632536</t>
  </si>
  <si>
    <t>Общество с ограниченной ответственностью "Марус", г.Екатеринбург</t>
  </si>
  <si>
    <t>6671122858</t>
  </si>
  <si>
    <t>26359574</t>
  </si>
  <si>
    <t>Общество с ограниченной ответственностью "Машиностроительный завод "Звезда", г.Карпинск</t>
  </si>
  <si>
    <t>6614005851</t>
  </si>
  <si>
    <t>661401001</t>
  </si>
  <si>
    <t>26322576</t>
  </si>
  <si>
    <t>Общество с ограниченной ответственностью "Машиностроительный завод им. В.В. Воровского", г. Екатеринбург</t>
  </si>
  <si>
    <t>6671461402</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</si>
  <si>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</si>
  <si>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</si>
  <si>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</si>
  <si>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</si>
  <si>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</si>
  <si>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</si>
  <si>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</si>
  <si>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</si>
  <si>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</si>
  <si>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</si>
  <si>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</si>
  <si>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</si>
  <si>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</si>
  <si>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</si>
  <si>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</si>
  <si>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</si>
  <si>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</si>
  <si>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</si>
  <si>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</si>
  <si>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</si>
  <si>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</si>
  <si>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</si>
  <si>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</si>
  <si>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</si>
  <si>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</si>
  <si>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</si>
  <si>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</si>
  <si>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</si>
  <si>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</si>
  <si>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</si>
  <si>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</si>
  <si>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</si>
  <si>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</si>
  <si>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</si>
  <si>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</si>
  <si>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</si>
  <si>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</si>
  <si>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</si>
  <si>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</si>
  <si>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</si>
  <si>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</si>
  <si>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</si>
  <si>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</si>
  <si>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</si>
  <si>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</si>
  <si>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</si>
  <si>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</si>
  <si>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</si>
  <si>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</si>
  <si>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</si>
  <si>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</si>
  <si>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</si>
  <si>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</si>
  <si>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</si>
  <si>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</si>
  <si>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</si>
  <si>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</si>
  <si>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</si>
  <si>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</si>
  <si>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</si>
  <si>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</si>
  <si>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</si>
  <si>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</si>
  <si>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</si>
  <si>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</si>
  <si>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</si>
  <si>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</si>
  <si>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</si>
  <si>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</si>
  <si>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</si>
  <si>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</si>
  <si>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</si>
  <si>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</si>
  <si>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</si>
  <si>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</si>
  <si>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</si>
  <si>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</si>
  <si>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</si>
  <si>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</si>
  <si>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</si>
  <si>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</si>
  <si>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</si>
  <si>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</si>
  <si>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</si>
  <si>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</si>
  <si>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</si>
  <si>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</si>
  <si>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</si>
  <si>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</si>
  <si>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</si>
  <si>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</si>
  <si>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</si>
  <si>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</si>
  <si>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</si>
  <si>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</si>
  <si>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</si>
  <si>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</si>
  <si>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</si>
  <si>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</si>
  <si>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</si>
  <si>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</si>
  <si>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</si>
  <si>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</si>
  <si>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</si>
  <si>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</si>
  <si>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</si>
  <si>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</si>
  <si>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</si>
  <si>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</si>
  <si>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</si>
  <si>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</si>
  <si>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28983605</t>
  </si>
  <si>
    <t>Общество с ограниченной ответственностью "ТЕПЛОИНВЕСТ", г. Березовский</t>
  </si>
  <si>
    <t>6678048699</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</si>
  <si>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</si>
  <si>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</si>
  <si>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</si>
  <si>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</si>
  <si>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</si>
  <si>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</si>
  <si>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</si>
  <si>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</si>
  <si>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30807431</t>
  </si>
  <si>
    <t>Общество с ограниченной ответственностью "ТеплоТранс", г. Каменск-Уральский</t>
  </si>
  <si>
    <t>6612049892</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</si>
  <si>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</si>
  <si>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</si>
  <si>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</si>
  <si>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</si>
  <si>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</si>
  <si>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</si>
  <si>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</si>
  <si>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</si>
  <si>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</si>
  <si>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</si>
  <si>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</si>
  <si>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</si>
  <si>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</si>
  <si>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</si>
  <si>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</si>
  <si>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</si>
  <si>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</si>
  <si>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</si>
  <si>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</si>
  <si>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</si>
  <si>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</si>
  <si>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</si>
  <si>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</si>
  <si>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</si>
  <si>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</si>
  <si>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28506147</t>
  </si>
  <si>
    <t>Общество с ограниченной ответственностью "Теплоэнергоснабжение", г. Екатеринбург</t>
  </si>
  <si>
    <t>6670416799</t>
  </si>
  <si>
    <t>12-05-2014 00:00:00</t>
  </si>
  <si>
    <t>15-05-2025 00:00:00</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</si>
  <si>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</si>
  <si>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</si>
  <si>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</si>
  <si>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</si>
  <si>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</si>
  <si>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</si>
  <si>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</si>
  <si>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</si>
  <si>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</si>
  <si>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</si>
  <si>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</si>
  <si>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</si>
  <si>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</si>
  <si>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30394922</t>
  </si>
  <si>
    <t>Общество с ограниченной ответственностью "УК Энергия"</t>
  </si>
  <si>
    <t>6685102883</t>
  </si>
  <si>
    <t>28260836</t>
  </si>
  <si>
    <t>Общество с ограниченной ответственностью "Управляющая Компания "Мастер", г. Екатеринбург</t>
  </si>
  <si>
    <t>6670341991</t>
  </si>
  <si>
    <t>20-08-2013 00:00:00</t>
  </si>
  <si>
    <t>08-08-2025 00:00:00</t>
  </si>
  <si>
    <t>28983824</t>
  </si>
  <si>
    <t>Общество с ограниченной ответственностью "Управляющая компания "ГЛАВНЫЙ ПРОСПЕКТ", г. Екатеринбург</t>
  </si>
  <si>
    <t>6671467676</t>
  </si>
  <si>
    <t>04-08-2015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</si>
  <si>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</si>
  <si>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</si>
  <si>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</si>
  <si>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</si>
  <si>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</si>
  <si>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</si>
  <si>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</si>
  <si>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</si>
  <si>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</si>
  <si>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</si>
  <si>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</si>
  <si>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</si>
  <si>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</si>
  <si>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</si>
  <si>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</si>
  <si>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</si>
  <si>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</si>
  <si>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</si>
  <si>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</si>
  <si>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666201001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</si>
  <si>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</si>
  <si>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</si>
  <si>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</si>
  <si>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</si>
  <si>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</si>
  <si>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</si>
  <si>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</si>
  <si>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</si>
  <si>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</si>
  <si>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</si>
  <si>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</si>
  <si>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28812659</t>
  </si>
  <si>
    <t>Общество с ограниченной ответственностью "Уральская теплоэнергетическая компания", г. Екатеринбург</t>
  </si>
  <si>
    <t>6658458150</t>
  </si>
  <si>
    <t>11-09-2014 00:00:00</t>
  </si>
  <si>
    <t>25-11-2025 00:00:00</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</si>
  <si>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</si>
  <si>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</si>
  <si>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</si>
  <si>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</si>
  <si>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</si>
  <si>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</si>
  <si>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</si>
  <si>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</si>
  <si>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</si>
  <si>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</si>
  <si>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</si>
  <si>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</si>
  <si>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</si>
  <si>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</si>
  <si>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</si>
  <si>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</si>
  <si>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</si>
  <si>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</si>
  <si>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</si>
  <si>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</si>
  <si>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</si>
  <si>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</si>
  <si>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</si>
  <si>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</si>
  <si>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</si>
  <si>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</si>
  <si>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26479189</t>
  </si>
  <si>
    <t>Общество с ограниченной ответственностью "Энергия", п.Привокзальный</t>
  </si>
  <si>
    <t>6640003890</t>
  </si>
  <si>
    <t>26479061</t>
  </si>
  <si>
    <t>Общество с ограниченной ответственностью "ЭнергоКомплекс", р.п.Верхнее Дуброво</t>
  </si>
  <si>
    <t>6639016573</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</si>
  <si>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</si>
  <si>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</si>
  <si>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</si>
  <si>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</si>
  <si>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</si>
  <si>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</si>
  <si>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</si>
  <si>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</si>
  <si>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</si>
  <si>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</si>
  <si>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</si>
  <si>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</si>
  <si>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</si>
  <si>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</si>
  <si>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</si>
  <si>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</si>
  <si>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</si>
  <si>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</si>
  <si>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</si>
  <si>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26617348</t>
  </si>
  <si>
    <t>Общество с ограниченной ответственностью "Энергоуправление", г. Асбест</t>
  </si>
  <si>
    <t>6603023425</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</si>
  <si>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</si>
  <si>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</si>
  <si>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</si>
  <si>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</si>
  <si>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</si>
  <si>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</si>
  <si>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</si>
  <si>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</si>
  <si>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</si>
  <si>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</si>
  <si>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</si>
  <si>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</si>
  <si>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</si>
  <si>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</si>
  <si>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</si>
  <si>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</si>
  <si>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</si>
  <si>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</si>
  <si>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</si>
  <si>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</si>
  <si>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</si>
  <si>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</si>
  <si>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</si>
  <si>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</si>
  <si>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</si>
  <si>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</si>
  <si>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</si>
  <si>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</si>
  <si>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</si>
  <si>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</si>
  <si>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</si>
  <si>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</si>
  <si>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</si>
  <si>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</si>
  <si>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</si>
  <si>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</si>
  <si>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</si>
  <si>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</si>
  <si>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</si>
  <si>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</si>
  <si>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</si>
  <si>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</si>
  <si>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</si>
  <si>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</si>
  <si>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</si>
  <si>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</si>
  <si>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</si>
  <si>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</si>
  <si>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</si>
  <si>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28276691</t>
  </si>
  <si>
    <t>Открытое акционерное общество "Богдановичская генерирующая компания", г. Богданович</t>
  </si>
  <si>
    <t>6633016739</t>
  </si>
  <si>
    <t>15-10-2013 00:00:00</t>
  </si>
  <si>
    <t>09-07-2025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</si>
  <si>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</si>
  <si>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</si>
  <si>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</si>
  <si>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</si>
  <si>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</si>
  <si>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</si>
  <si>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</si>
  <si>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</si>
  <si>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</si>
  <si>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</si>
  <si>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</si>
  <si>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</si>
  <si>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</si>
  <si>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</si>
  <si>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</si>
  <si>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</si>
  <si>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</si>
  <si>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</si>
  <si>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</si>
  <si>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</si>
  <si>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</si>
  <si>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</si>
  <si>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</si>
  <si>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</si>
  <si>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665945027</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</si>
  <si>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</si>
  <si>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</si>
  <si>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</si>
  <si>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</si>
  <si>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</si>
  <si>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</si>
  <si>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28068320</t>
  </si>
  <si>
    <t>Открытое акционерное общество "Свердловский завод трансформаторов тока", г. Екатеринбург</t>
  </si>
  <si>
    <t>6658017928</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</si>
  <si>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</si>
  <si>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</si>
  <si>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</si>
  <si>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</si>
  <si>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</si>
  <si>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</si>
  <si>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</si>
  <si>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</si>
  <si>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</si>
  <si>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26359712</t>
  </si>
  <si>
    <t>Открытое акционерное общество "Уральская фольга", г.Михайловск</t>
  </si>
  <si>
    <t>6646010043</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</si>
  <si>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</si>
  <si>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</si>
  <si>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</si>
  <si>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</si>
  <si>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</si>
  <si>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</si>
  <si>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</si>
  <si>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</si>
  <si>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</si>
  <si>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</si>
  <si>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</si>
  <si>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</si>
  <si>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</si>
  <si>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26853991</t>
  </si>
  <si>
    <t>ПАО "ЕВРАЗ" филиал НТМК</t>
  </si>
  <si>
    <t>6623000680</t>
  </si>
  <si>
    <t>662343001</t>
  </si>
  <si>
    <t>26322598</t>
  </si>
  <si>
    <t>ПАО "Каменск-Уральский металлургический завод", г.Каменск-Уральский</t>
  </si>
  <si>
    <t>6665002150</t>
  </si>
  <si>
    <t>26357500</t>
  </si>
  <si>
    <t>ПАО "Новолипецкий металлургический комбинат"</t>
  </si>
  <si>
    <t>4823006703</t>
  </si>
  <si>
    <t>482301001</t>
  </si>
  <si>
    <t>31909599</t>
  </si>
  <si>
    <t>ПАО "ТМК" филиал ПАО "ТМК" Северский трубный завод</t>
  </si>
  <si>
    <t>7710373095</t>
  </si>
  <si>
    <t>667943001</t>
  </si>
  <si>
    <t>26823128</t>
  </si>
  <si>
    <t>ПАО "ЭЛ5-Энерго"</t>
  </si>
  <si>
    <t>6671156423</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</si>
  <si>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</si>
  <si>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</si>
  <si>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</si>
  <si>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26359546</t>
  </si>
  <si>
    <t>Публичное акционерное общество "Корпорация ВСМПО-АВИСМА", г. Верхняя Салда</t>
  </si>
  <si>
    <t>6607000556</t>
  </si>
  <si>
    <t>18-02-1993 00:00:00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</si>
  <si>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</si>
  <si>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</si>
  <si>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</si>
  <si>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</si>
  <si>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</si>
  <si>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</si>
  <si>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</si>
  <si>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</si>
  <si>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</si>
  <si>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</si>
  <si>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</si>
  <si>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</si>
  <si>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</si>
  <si>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</si>
  <si>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</si>
  <si>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</si>
  <si>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</si>
  <si>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</si>
  <si>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</si>
  <si>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</si>
  <si>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</si>
  <si>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</si>
  <si>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</si>
  <si>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</si>
  <si>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</si>
  <si>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</si>
  <si>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26479518</t>
  </si>
  <si>
    <t>Публичное акционерное общество междугородной и международной электрической связи "Ростелеком" Екатеринбургский филиал, г. Екатеринбург</t>
  </si>
  <si>
    <t>7707049388</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</si>
  <si>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</si>
  <si>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</si>
  <si>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</si>
  <si>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</si>
  <si>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</si>
  <si>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</si>
  <si>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</si>
  <si>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</si>
  <si>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</si>
  <si>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</si>
  <si>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</si>
  <si>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</si>
  <si>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</si>
  <si>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</si>
  <si>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</si>
  <si>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</si>
  <si>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</si>
  <si>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</si>
  <si>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</si>
  <si>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</si>
  <si>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</si>
  <si>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</si>
  <si>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</si>
  <si>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</si>
  <si>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</si>
  <si>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</si>
  <si>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</si>
  <si>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</si>
  <si>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</si>
  <si>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</si>
  <si>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</si>
  <si>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</si>
  <si>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</si>
  <si>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</si>
  <si>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</si>
  <si>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</si>
  <si>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</si>
  <si>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</si>
  <si>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</si>
  <si>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</si>
  <si>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</si>
  <si>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</si>
  <si>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</si>
  <si>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</si>
  <si>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</si>
  <si>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</si>
  <si>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</si>
  <si>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</si>
  <si>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</si>
  <si>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</si>
  <si>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</si>
  <si>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</si>
  <si>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</si>
  <si>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</si>
  <si>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</si>
  <si>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</si>
  <si>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</si>
  <si>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</si>
  <si>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</si>
  <si>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</si>
  <si>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</si>
  <si>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</si>
  <si>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</si>
  <si>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</si>
  <si>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</si>
  <si>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</si>
  <si>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</si>
  <si>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</si>
  <si>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</si>
  <si>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</si>
  <si>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</si>
  <si>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</si>
  <si>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</si>
  <si>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</si>
  <si>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</si>
  <si>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28951102</t>
  </si>
  <si>
    <t>Филиал "Свердловский" ПАО "Т Плюс"</t>
  </si>
  <si>
    <t>667143001</t>
  </si>
  <si>
    <t>01-04-2015 00:00:00</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</si>
  <si>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</si>
  <si>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</si>
  <si>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</si>
  <si>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</si>
  <si>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</si>
  <si>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</si>
  <si>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</si>
  <si>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</si>
  <si>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26477116</t>
  </si>
  <si>
    <t>Филиал ПАО "ОГК-2" - Серовская ГРЭС, г. Серов</t>
  </si>
  <si>
    <t>2607018122</t>
  </si>
  <si>
    <t>663202001</t>
  </si>
  <si>
    <t>09-03-2005 00:00:00</t>
  </si>
  <si>
    <t>31910684</t>
  </si>
  <si>
    <t>Филиал ПАО «ТМК» ПНТЗ</t>
  </si>
  <si>
    <t>668443001</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</si>
  <si>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</si>
  <si>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</si>
  <si>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</si>
  <si>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</si>
  <si>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</si>
  <si>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</si>
  <si>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</si>
  <si>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</si>
  <si>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</si>
  <si>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</si>
  <si>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</si>
  <si>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</si>
  <si>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</si>
  <si>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</si>
  <si>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 г.Екатеринбург</t>
  </si>
  <si>
    <t>7709740495</t>
  </si>
  <si>
    <t>31246223</t>
  </si>
  <si>
    <t>АО "НПО "МИКРОГЕН"</t>
  </si>
  <si>
    <t>7722422237</t>
  </si>
  <si>
    <t>772201001</t>
  </si>
  <si>
    <t>26479168</t>
  </si>
  <si>
    <t>Акционерное общество "Агрофирма "Патруши", с.Патруши</t>
  </si>
  <si>
    <t>6652018883</t>
  </si>
  <si>
    <t>26481258</t>
  </si>
  <si>
    <t>Акционерное общество "Водоканал Каменск-Уральский", г.Каменск-Уральский</t>
  </si>
  <si>
    <t>6612019640</t>
  </si>
  <si>
    <t>26480998</t>
  </si>
  <si>
    <t>Акционерное общество "Водоканал", г.Асбест</t>
  </si>
  <si>
    <t>6603017615</t>
  </si>
  <si>
    <t>05-04-2005 00:00:00</t>
  </si>
  <si>
    <t>26359783</t>
  </si>
  <si>
    <t>Акционерное общество "Каменск-Уральский завод по обработке цветных металлов", г.Каменск-Уральский</t>
  </si>
  <si>
    <t>6666003414</t>
  </si>
  <si>
    <t>20-11-1992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</si>
  <si>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</si>
  <si>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</si>
  <si>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</si>
  <si>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</si>
  <si>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</si>
  <si>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</si>
  <si>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</si>
  <si>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</si>
  <si>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</si>
  <si>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</si>
  <si>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</si>
  <si>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</si>
  <si>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</si>
  <si>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</si>
  <si>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</si>
  <si>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</si>
  <si>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</si>
  <si>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</si>
  <si>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</si>
  <si>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</si>
  <si>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</si>
  <si>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</si>
  <si>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</si>
  <si>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</si>
  <si>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</si>
  <si>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</si>
  <si>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</si>
  <si>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</si>
  <si>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</si>
  <si>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</si>
  <si>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</si>
  <si>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</si>
  <si>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</si>
  <si>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</si>
  <si>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31475269</t>
  </si>
  <si>
    <t>МКУ "Сети"</t>
  </si>
  <si>
    <t>6681011297</t>
  </si>
  <si>
    <t>18-06-2025 00:00:00</t>
  </si>
  <si>
    <t>31803257</t>
  </si>
  <si>
    <t>МКУ "УТТО ОМС ТСП и ПУ"</t>
  </si>
  <si>
    <t>6676004470</t>
  </si>
  <si>
    <t>31857761</t>
  </si>
  <si>
    <t>МКУ "Управление ЖКХ и обеспечения деятельности ОМС МО Дегтярск СО"</t>
  </si>
  <si>
    <t>6627008070</t>
  </si>
  <si>
    <t>01-06-2025 00:00:00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</si>
  <si>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</si>
  <si>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</si>
  <si>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</si>
  <si>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</si>
  <si>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</si>
  <si>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</si>
  <si>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</si>
  <si>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</si>
  <si>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</si>
  <si>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28941377</t>
  </si>
  <si>
    <t>МУП "Водоканал"</t>
  </si>
  <si>
    <t>6633022877</t>
  </si>
  <si>
    <t>11-03-2015 00:00:00</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</si>
  <si>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</si>
  <si>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</si>
  <si>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</si>
  <si>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</si>
  <si>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</si>
  <si>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</si>
  <si>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</si>
  <si>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</si>
  <si>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</si>
  <si>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</si>
  <si>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пос.Буланаш"</t>
  </si>
  <si>
    <t>6677011181</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</si>
  <si>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</si>
  <si>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</si>
  <si>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</si>
  <si>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</si>
  <si>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</si>
  <si>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</si>
  <si>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</si>
  <si>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</si>
  <si>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</si>
  <si>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</si>
  <si>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</si>
  <si>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</si>
  <si>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</si>
  <si>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</si>
  <si>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</si>
  <si>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</si>
  <si>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</si>
  <si>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</si>
  <si>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</si>
  <si>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</si>
  <si>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</si>
  <si>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</si>
  <si>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</si>
  <si>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</si>
  <si>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</si>
  <si>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</si>
  <si>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</si>
  <si>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</si>
  <si>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</si>
  <si>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</si>
  <si>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</si>
  <si>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</si>
  <si>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</si>
  <si>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</si>
  <si>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РМО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</si>
  <si>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</si>
  <si>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</si>
  <si>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</si>
  <si>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</si>
  <si>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</si>
  <si>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</si>
  <si>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</si>
  <si>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</si>
  <si>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</si>
  <si>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</si>
  <si>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</si>
  <si>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</si>
  <si>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</si>
  <si>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27666399</t>
  </si>
  <si>
    <t>Муниципальное унитарное предприятие "Водоканал Камышлов"</t>
  </si>
  <si>
    <t>6633018655</t>
  </si>
  <si>
    <t>17-12-2025 00:00:00</t>
  </si>
  <si>
    <t>26481215</t>
  </si>
  <si>
    <t>Муниципальное унитарное предприятие "Водоканал г.Михайловск", г.Михайловск</t>
  </si>
  <si>
    <t>6646014619</t>
  </si>
  <si>
    <t>22-07-2008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</si>
  <si>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</si>
  <si>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</si>
  <si>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</si>
  <si>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</si>
  <si>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</si>
  <si>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</si>
  <si>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</si>
  <si>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</si>
  <si>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</si>
  <si>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</si>
  <si>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</si>
  <si>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</si>
  <si>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27811327</t>
  </si>
  <si>
    <t>Муниципальное унитарное предприятие "Муниципальная управляющая компания городского округа Красноуральск", г. Красноуральск</t>
  </si>
  <si>
    <t>6620016876</t>
  </si>
  <si>
    <t>03-10-2011 00:00:00</t>
  </si>
  <si>
    <t>06-02-2025 00:00:00</t>
  </si>
  <si>
    <t>27823487</t>
  </si>
  <si>
    <t>Муниципальное унитарное предприятие "Невьянский водоканал" Невьянского муниципального округа, г. Невьянск</t>
  </si>
  <si>
    <t>6682001206</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</si>
  <si>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</si>
  <si>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</si>
  <si>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</si>
  <si>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</si>
  <si>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</si>
  <si>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</si>
  <si>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</si>
  <si>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</si>
  <si>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</si>
  <si>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26481096</t>
  </si>
  <si>
    <t>Муниципальное унитарное предприятие Березовское водо-канализационное хозяйство "Водоканал", г.Березовский</t>
  </si>
  <si>
    <t>6604017216</t>
  </si>
  <si>
    <t>25-07-2006 00:00:00</t>
  </si>
  <si>
    <t>31269520</t>
  </si>
  <si>
    <t>Муниципальное унитарное предприятие Нижнетуринского муниципального округа "Искра", г. Нижняя Тура</t>
  </si>
  <si>
    <t>6681009925</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</si>
  <si>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</si>
  <si>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</si>
  <si>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</si>
  <si>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</si>
  <si>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</si>
  <si>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</si>
  <si>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</si>
  <si>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</si>
  <si>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</si>
  <si>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</si>
  <si>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</si>
  <si>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28149803</t>
  </si>
  <si>
    <t>Муниципальное унитарное предприятие жилищно-коммунального хозяйства "Водоканал", г. Туринск</t>
  </si>
  <si>
    <t>6676001670</t>
  </si>
  <si>
    <t>30982643</t>
  </si>
  <si>
    <t>ООО "АВТ Плюс", г. Екатеринбург</t>
  </si>
  <si>
    <t>6685131147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</si>
  <si>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</si>
  <si>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</si>
  <si>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</si>
  <si>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</si>
  <si>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</si>
  <si>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</si>
  <si>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</si>
  <si>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</si>
  <si>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</si>
  <si>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</si>
  <si>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</si>
  <si>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</si>
  <si>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</si>
  <si>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</si>
  <si>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</si>
  <si>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</si>
  <si>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</si>
  <si>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</si>
  <si>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</si>
  <si>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</si>
  <si>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</si>
  <si>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</si>
  <si>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</si>
  <si>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</si>
  <si>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</si>
  <si>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</si>
  <si>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</si>
  <si>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</si>
  <si>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</si>
  <si>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</si>
  <si>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</si>
  <si>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</si>
  <si>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</si>
  <si>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</si>
  <si>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</si>
  <si>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</si>
  <si>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</si>
  <si>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</si>
  <si>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26480996</t>
  </si>
  <si>
    <t>Общество с ограниченной ответственностью "Аква-сервис", п.Кедровка</t>
  </si>
  <si>
    <t>6604024527</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</si>
  <si>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</si>
  <si>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</si>
  <si>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</si>
  <si>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</si>
  <si>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</si>
  <si>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</si>
  <si>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</si>
  <si>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</si>
  <si>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</si>
  <si>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</si>
  <si>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</si>
  <si>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26479536</t>
  </si>
  <si>
    <t>Общество с ограниченной ответственностью "Водоканал-НТ", г.Нижний Тагил</t>
  </si>
  <si>
    <t>6623034200</t>
  </si>
  <si>
    <t>13-09-2006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</si>
  <si>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</si>
  <si>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</si>
  <si>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</si>
  <si>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</si>
  <si>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</si>
  <si>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</si>
  <si>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</si>
  <si>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</si>
  <si>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</si>
  <si>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</si>
  <si>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</si>
  <si>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</si>
  <si>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</si>
  <si>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</si>
  <si>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</si>
  <si>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</si>
  <si>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</si>
  <si>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</si>
  <si>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</si>
  <si>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</si>
  <si>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</si>
  <si>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</si>
  <si>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</si>
  <si>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</si>
  <si>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</si>
  <si>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</si>
  <si>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28016272</t>
  </si>
  <si>
    <t>Общество с ограниченной ответственностью "Энергетик ИС", г. Нижняя Тура</t>
  </si>
  <si>
    <t>6681000111</t>
  </si>
  <si>
    <t>05-02-2025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</si>
  <si>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</si>
  <si>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</si>
  <si>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</si>
  <si>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</si>
  <si>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</si>
  <si>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</si>
  <si>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</si>
  <si>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</si>
  <si>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</si>
  <si>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</si>
  <si>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</si>
  <si>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</si>
  <si>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</si>
  <si>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</si>
  <si>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</si>
  <si>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</si>
  <si>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</si>
  <si>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</si>
  <si>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</si>
  <si>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</si>
  <si>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</si>
  <si>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</si>
  <si>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</si>
  <si>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</si>
  <si>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</si>
  <si>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</si>
  <si>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</si>
  <si>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</si>
  <si>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</si>
  <si>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</si>
  <si>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</si>
  <si>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26481175</t>
  </si>
  <si>
    <t>Сельскохозяйственный производственный кооператив "Пламя", с.Невьянское</t>
  </si>
  <si>
    <t>6635001015</t>
  </si>
  <si>
    <t>26631750</t>
  </si>
  <si>
    <t>Сельскохозяйственный производственный кооператив "Пригородное", п.Спутник</t>
  </si>
  <si>
    <t>6611009022</t>
  </si>
  <si>
    <t>26850837</t>
  </si>
  <si>
    <t>Сельскохозяйственный производственный кооператив "Путиловский", с.Останино</t>
  </si>
  <si>
    <t>6635000614</t>
  </si>
  <si>
    <t>26631756</t>
  </si>
  <si>
    <t>Сельскохозяйственный производственный кооператив им. Жукова, д.Б.Кочевка</t>
  </si>
  <si>
    <t>6642000076</t>
  </si>
  <si>
    <t>26481256</t>
  </si>
  <si>
    <t>Унитарное муниципальное предприятие "Водоканал" муниципального округа Ревда, г.Ревда</t>
  </si>
  <si>
    <t>6627012077</t>
  </si>
  <si>
    <t>09-06-2000 00:00:00</t>
  </si>
  <si>
    <t>31913714</t>
  </si>
  <si>
    <t>Филиал ПАО «ТМК» СинТЗ</t>
  </si>
  <si>
    <t>661243001</t>
  </si>
  <si>
    <t>26481074</t>
  </si>
  <si>
    <t>Филиал РТРС "Свердловский ОРТПЦ"</t>
  </si>
  <si>
    <t>7717127211</t>
  </si>
  <si>
    <t>665843001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</si>
  <si>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</si>
  <si>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</si>
  <si>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</si>
  <si>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</si>
  <si>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</si>
  <si>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</si>
  <si>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</si>
  <si>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</si>
  <si>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</si>
  <si>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</si>
  <si>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</si>
  <si>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</si>
  <si>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</si>
  <si>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</si>
  <si>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</si>
  <si>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</si>
  <si>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</si>
  <si>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</si>
  <si>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</si>
  <si>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</si>
  <si>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31432616</t>
  </si>
  <si>
    <t>МУП "Белоярскспецавтотранс"</t>
  </si>
  <si>
    <t>6683001576</t>
  </si>
  <si>
    <t>13-01-2025 00:00:00</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</si>
  <si>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</si>
  <si>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</si>
  <si>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</si>
  <si>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</si>
  <si>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</si>
  <si>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</si>
  <si>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</si>
  <si>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</si>
  <si>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</si>
  <si>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</si>
  <si>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</si>
  <si>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</si>
  <si>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</si>
  <si>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</si>
  <si>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</si>
  <si>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</si>
  <si>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</si>
  <si>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</si>
  <si>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</si>
  <si>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</si>
  <si>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</si>
  <si>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</si>
  <si>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</si>
  <si>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</si>
  <si>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</si>
  <si>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</si>
  <si>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</si>
  <si>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</si>
  <si>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</si>
  <si>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</si>
  <si>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</si>
  <si>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</si>
  <si>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</si>
  <si>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</si>
  <si>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</si>
  <si>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</si>
  <si>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</si>
  <si>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</si>
  <si>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</si>
  <si>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</si>
  <si>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</si>
  <si>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</si>
  <si>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</si>
  <si>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</si>
  <si>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</si>
  <si>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</si>
  <si>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</si>
  <si>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</si>
  <si>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</si>
  <si>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</si>
  <si>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</si>
  <si>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</si>
  <si>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</si>
  <si>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</si>
  <si>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</si>
  <si>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</si>
  <si>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</si>
  <si>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</si>
  <si>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</si>
  <si>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28156467</t>
  </si>
  <si>
    <t>Федеральное казенное учреждение "Колония-поселение № 59 ГУФСИН по Свердловской области", г. Каменск-Уральский</t>
  </si>
  <si>
    <t>6610001197</t>
  </si>
  <si>
    <t>26-11-2025 00:00:00</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</si>
  <si>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</si>
  <si>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</si>
  <si>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</si>
  <si>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</si>
  <si>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</si>
  <si>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</si>
  <si>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</si>
  <si>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</si>
  <si>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</si>
  <si>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</si>
  <si>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</si>
  <si>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</si>
  <si>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</si>
  <si>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</si>
  <si>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</si>
  <si>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</si>
  <si>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</si>
  <si>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</si>
  <si>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</si>
  <si>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</si>
  <si>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</si>
  <si>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</si>
  <si>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</si>
  <si>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</si>
  <si>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</si>
  <si>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</si>
  <si>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</si>
  <si>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</si>
  <si>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</si>
  <si>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</si>
  <si>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</si>
  <si>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</si>
  <si>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</si>
  <si>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</si>
  <si>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26382706</t>
  </si>
  <si>
    <t>Муниципальное унитарное предприятие "Комбинат благоустройства", г.Лесной</t>
  </si>
  <si>
    <t>6630000138</t>
  </si>
  <si>
    <t>663001001</t>
  </si>
  <si>
    <t>26648972</t>
  </si>
  <si>
    <t>Муниципальное унитарное предприятие "Нива", г. Новоуральск</t>
  </si>
  <si>
    <t>6629010950</t>
  </si>
  <si>
    <t>26382670</t>
  </si>
  <si>
    <t>Муниципальное унитарное предприятие "Производственный трест жилищно-коммунального хозяйства" городского округа Рефтинский, п.Рефтинский</t>
  </si>
  <si>
    <t>6603010391</t>
  </si>
  <si>
    <t>30-12-2025 00:00:00</t>
  </si>
  <si>
    <t>31524744</t>
  </si>
  <si>
    <t>ООО "ВТОРСБЫТ"</t>
  </si>
  <si>
    <t>6670487768</t>
  </si>
  <si>
    <t>31696506</t>
  </si>
  <si>
    <t>ООО "Вывоз отходов"</t>
  </si>
  <si>
    <t>1660098160</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</si>
  <si>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</si>
  <si>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</si>
  <si>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</si>
  <si>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</si>
  <si>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</si>
  <si>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</si>
  <si>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</si>
  <si>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</si>
  <si>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</si>
  <si>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</si>
  <si>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</si>
  <si>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</si>
  <si>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</si>
  <si>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</si>
  <si>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</si>
  <si>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31920323</t>
  </si>
  <si>
    <t>ООО "Рециклинг"</t>
  </si>
  <si>
    <t>6685222877</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</si>
  <si>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</si>
  <si>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</si>
  <si>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</si>
  <si>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</si>
  <si>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</si>
  <si>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</si>
  <si>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</si>
  <si>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</si>
  <si>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</si>
  <si>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</si>
  <si>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</si>
  <si>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</si>
  <si>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</si>
  <si>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</si>
  <si>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</si>
  <si>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</si>
  <si>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</si>
  <si>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</si>
  <si>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17-07-2024 00:00:00</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</si>
  <si>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</si>
  <si>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</si>
  <si>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</si>
  <si>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</si>
  <si>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</si>
  <si>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</si>
  <si>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</si>
  <si>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</si>
  <si>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</si>
  <si>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</si>
  <si>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</si>
  <si>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</si>
  <si>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</si>
  <si>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</si>
  <si>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</si>
  <si>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31892099</t>
  </si>
  <si>
    <t>ООО "Экотехнопарк Верхнепышминский"</t>
  </si>
  <si>
    <t>6686157839</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</si>
  <si>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</si>
  <si>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</si>
  <si>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</si>
  <si>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</si>
  <si>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</si>
  <si>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</si>
  <si>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</si>
  <si>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</si>
  <si>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</si>
  <si>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</si>
  <si>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</si>
  <si>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</si>
  <si>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26482523</t>
  </si>
  <si>
    <t>Общество с ограниченной ответственностью "Алапаевский полигон", г.Алапаевск</t>
  </si>
  <si>
    <t>6601014168</t>
  </si>
  <si>
    <t>11-12-2025 00:00:00</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</si>
  <si>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</si>
  <si>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</si>
  <si>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</si>
  <si>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</si>
  <si>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</si>
  <si>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</si>
  <si>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26382701</t>
  </si>
  <si>
    <t>Общество с ограниченной ответственностью "Горкомхоз", г.Ревда</t>
  </si>
  <si>
    <t>6627012172</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</si>
  <si>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</si>
  <si>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</si>
  <si>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</si>
  <si>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</si>
  <si>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</si>
  <si>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</si>
  <si>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</si>
  <si>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</si>
  <si>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</si>
  <si>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</si>
  <si>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</si>
  <si>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</si>
  <si>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</si>
  <si>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</si>
  <si>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</si>
  <si>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</si>
  <si>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27820220</t>
  </si>
  <si>
    <t>Общество с ограниченной ответственностью "Спецтехника", г. Нижняя Тура</t>
  </si>
  <si>
    <t>6615013277</t>
  </si>
  <si>
    <t>28-04-2025 00:00:00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</si>
  <si>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</si>
  <si>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</si>
  <si>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</si>
  <si>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</si>
  <si>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</si>
  <si>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</si>
  <si>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</si>
  <si>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</si>
  <si>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</si>
  <si>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</si>
  <si>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</si>
  <si>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</si>
  <si>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</si>
  <si>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</si>
  <si>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</si>
  <si>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</si>
  <si>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</si>
  <si>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</si>
  <si>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</si>
  <si>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</si>
  <si>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</si>
  <si>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</si>
  <si>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</si>
  <si>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</si>
  <si>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</si>
  <si>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</si>
  <si>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</si>
  <si>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</si>
  <si>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</si>
  <si>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</si>
  <si>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</si>
  <si>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</si>
  <si>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</si>
  <si>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</si>
  <si>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</si>
  <si>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</si>
  <si>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</si>
  <si>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</si>
  <si>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</si>
  <si>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</si>
  <si>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</si>
  <si>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</si>
  <si>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</si>
  <si>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</si>
  <si>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</si>
  <si>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</si>
  <si>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</si>
  <si>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</si>
  <si>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</si>
  <si>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</si>
  <si>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</si>
  <si>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</si>
  <si>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</si>
  <si>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</si>
  <si>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</si>
  <si>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</si>
  <si>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</si>
  <si>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</si>
  <si>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</si>
  <si>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</si>
  <si>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</si>
  <si>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</si>
  <si>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</si>
  <si>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</si>
  <si>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</si>
  <si>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</si>
  <si>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</si>
  <si>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</si>
  <si>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</si>
  <si>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</si>
  <si>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</si>
  <si>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</si>
  <si>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</si>
  <si>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</si>
  <si>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</si>
  <si>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</si>
  <si>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</si>
  <si>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</si>
  <si>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</si>
  <si>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</si>
  <si>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</si>
  <si>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</si>
  <si>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</si>
  <si>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</si>
  <si>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</si>
  <si>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</si>
  <si>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</si>
  <si>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</si>
  <si>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</si>
  <si>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</si>
  <si>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</si>
  <si>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</si>
  <si>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</si>
  <si>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</si>
  <si>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</si>
  <si>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</si>
  <si>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</si>
  <si>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</si>
  <si>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</si>
  <si>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</si>
  <si>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</si>
  <si>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</si>
  <si>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</si>
  <si>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</si>
  <si>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</si>
  <si>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</si>
  <si>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</si>
  <si>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</si>
  <si>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</si>
  <si>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</si>
  <si>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</si>
  <si>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</si>
  <si>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</si>
  <si>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</si>
  <si>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</si>
  <si>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</si>
  <si>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</si>
  <si>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</si>
  <si>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</si>
  <si>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</si>
  <si>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</si>
  <si>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</si>
  <si>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</si>
  <si>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</si>
  <si>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</si>
  <si>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</si>
  <si>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</si>
  <si>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</si>
  <si>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</si>
  <si>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</si>
  <si>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</si>
  <si>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</si>
  <si>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</si>
  <si>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</si>
  <si>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</si>
  <si>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</si>
  <si>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</si>
  <si>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</si>
  <si>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</si>
  <si>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</si>
  <si>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</si>
  <si>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</si>
  <si>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</si>
  <si>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</si>
  <si>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</si>
  <si>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</si>
  <si>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</si>
  <si>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</si>
  <si>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</si>
  <si>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</si>
  <si>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</si>
  <si>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</si>
  <si>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</si>
  <si>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</si>
  <si>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</si>
  <si>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</si>
  <si>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</si>
  <si>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</si>
  <si>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</si>
  <si>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</si>
  <si>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</si>
  <si>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</si>
  <si>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</si>
  <si>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</si>
  <si>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</si>
  <si>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</si>
  <si>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</si>
  <si>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</si>
  <si>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</si>
  <si>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</si>
  <si>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</si>
  <si>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</si>
  <si>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</si>
  <si>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</si>
  <si>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</si>
  <si>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</si>
  <si>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</si>
  <si>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</si>
  <si>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</si>
  <si>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</si>
  <si>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</si>
  <si>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</si>
  <si>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</si>
  <si>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</si>
  <si>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</si>
  <si>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</si>
  <si>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</si>
  <si>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</si>
  <si>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</si>
  <si>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</si>
  <si>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</si>
  <si>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</si>
  <si>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</si>
  <si>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</si>
  <si>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</si>
  <si>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</si>
  <si>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</si>
  <si>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</si>
  <si>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</si>
  <si>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</si>
  <si>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</si>
  <si>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</si>
  <si>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</si>
  <si>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</si>
  <si>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</si>
  <si>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</si>
  <si>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</si>
  <si>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</si>
  <si>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</si>
  <si>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</si>
  <si>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</si>
  <si>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</si>
  <si>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</si>
  <si>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</si>
  <si>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</si>
  <si>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</si>
  <si>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</si>
  <si>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</si>
  <si>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</si>
  <si>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</si>
  <si>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</si>
  <si>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</si>
  <si>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</si>
  <si>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</si>
  <si>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</si>
  <si>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</si>
  <si>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</si>
  <si>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</si>
  <si>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</si>
  <si>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</si>
  <si>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</si>
  <si>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</si>
  <si>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65756000</t>
  </si>
  <si>
    <t>83</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</si>
  <si>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</si>
  <si>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</si>
  <si>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</si>
  <si>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</si>
  <si>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</si>
  <si>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</si>
  <si>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</si>
  <si>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</si>
  <si>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</si>
  <si>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</si>
  <si>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</si>
  <si>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</si>
  <si>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</si>
  <si>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</si>
  <si>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</si>
  <si>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</si>
  <si>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</si>
  <si>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</si>
  <si>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</si>
  <si>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</si>
  <si>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</si>
  <si>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</si>
  <si>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</si>
  <si>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</si>
  <si>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</si>
  <si>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</si>
  <si>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</si>
  <si>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</si>
  <si>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</si>
  <si>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</si>
  <si>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</si>
  <si>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</si>
  <si>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</si>
  <si>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</si>
  <si>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</si>
  <si>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</si>
  <si>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</si>
  <si>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</si>
  <si>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</si>
  <si>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</si>
  <si>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</si>
  <si>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</si>
  <si>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</si>
  <si>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</si>
  <si>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</si>
  <si>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</si>
  <si>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</si>
  <si>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</si>
  <si>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</si>
  <si>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</si>
  <si>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</si>
  <si>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</si>
  <si>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</si>
  <si>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</si>
  <si>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</si>
  <si>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</si>
  <si>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</si>
  <si>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</si>
  <si>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</si>
  <si>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</si>
  <si>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</si>
  <si>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</si>
  <si>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</si>
  <si>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</si>
  <si>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</si>
  <si>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</si>
  <si>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</si>
  <si>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</si>
  <si>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</si>
  <si>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</si>
  <si>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</si>
  <si>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</si>
  <si>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</si>
  <si>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</si>
  <si>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</si>
  <si>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</si>
  <si>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</si>
  <si>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</si>
  <si>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</si>
  <si>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</si>
  <si>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</si>
  <si>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</si>
  <si>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</si>
  <si>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</si>
  <si>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</si>
  <si>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</si>
  <si>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</si>
  <si>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</si>
  <si>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</si>
  <si>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</si>
  <si>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</si>
  <si>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</si>
  <si>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</si>
  <si>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</si>
  <si>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</si>
  <si>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</si>
  <si>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</si>
  <si>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</si>
  <si>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</si>
  <si>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</si>
  <si>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</si>
  <si>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</si>
  <si>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</si>
  <si>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</si>
  <si>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</si>
  <si>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</si>
  <si>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</si>
  <si>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</si>
  <si>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</si>
  <si>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</si>
  <si>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</si>
  <si>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</si>
  <si>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</si>
  <si>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</si>
  <si>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</si>
  <si>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</si>
  <si>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</si>
  <si>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</si>
  <si>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</si>
  <si>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</si>
  <si>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</si>
  <si>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</si>
  <si>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</si>
  <si>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</si>
  <si>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</si>
  <si>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</si>
  <si>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</si>
  <si>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</si>
  <si>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</si>
  <si>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</si>
  <si>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</si>
  <si>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</si>
  <si>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</si>
  <si>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</si>
  <si>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</si>
  <si>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</si>
  <si>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</si>
  <si>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</si>
  <si>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</si>
  <si>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</si>
  <si>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</si>
  <si>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</si>
  <si>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</si>
  <si>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</si>
  <si>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</si>
  <si>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</si>
  <si>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</si>
  <si>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</si>
  <si>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</si>
  <si>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</si>
  <si>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</si>
  <si>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</si>
  <si>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</si>
  <si>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</si>
  <si>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</si>
  <si>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</si>
  <si>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</si>
  <si>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</si>
  <si>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</si>
  <si>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</si>
  <si>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</si>
  <si>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</si>
  <si>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Алапаевское</t>
  </si>
  <si>
    <t>65771000</t>
  </si>
  <si>
    <t>138</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</si>
  <si>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</si>
  <si>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</si>
  <si>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</si>
  <si>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</si>
  <si>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</si>
  <si>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</si>
  <si>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</si>
  <si>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</si>
  <si>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</si>
  <si>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</si>
  <si>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</si>
  <si>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</si>
  <si>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</si>
  <si>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</si>
  <si>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</si>
  <si>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</si>
  <si>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</si>
  <si>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</si>
  <si>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</si>
  <si>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</si>
  <si>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</si>
  <si>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</si>
  <si>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</si>
  <si>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</si>
  <si>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</si>
  <si>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</si>
  <si>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</si>
  <si>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</si>
  <si>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</si>
  <si>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</si>
  <si>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</si>
  <si>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</si>
  <si>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</si>
  <si>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</si>
  <si>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</si>
  <si>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</si>
  <si>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</si>
  <si>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</si>
  <si>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</si>
  <si>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7530534766</t>
  </si>
  <si>
    <t>О внесении изменений в приказ Министерства энергетики и жилищно-коммунального хозяйства Свердловской области от 19.11.2019 № 512  "Об утверждении инвестиционной программы общества с ограниченной ответственностью "Сигнал" на 2019-2029 годы (развитие системы водоотведения)"</t>
  </si>
  <si>
    <t>приказ</t>
  </si>
  <si>
    <t>486</t>
  </si>
  <si>
    <t>О внесении изменений в приказ Министерства энергетики и жилищно-коммунального хозяйства Свердловской области от 19.11.2019 № 512 "Об утверждении инвестиционной программы общества с ограниченной ответственностью "Сигнал" на 2019-2029 годы (развитие системы водоотведения)"</t>
  </si>
  <si>
    <t>Инвестиционная программа № 515 от 15.09.2025 АО "АКВАТЕХ" в сфере водоотведения по модернизации систем водоотведения, на территории муниципального округа Заречный на 2026-2028 годы</t>
  </si>
  <si>
    <t>01.01.2026</t>
  </si>
  <si>
    <t>31.12.2028</t>
  </si>
  <si>
    <t>Инвестиционная программа № 515 от 15.09.2025 АО "АКВАТЕХ" в сфере водоотведения по модернизации систем коммунальной инфраструктуры, на территории муниципального округа Заречный на 2026-2028 годы</t>
  </si>
  <si>
    <t>Инвестиционная программа № 642 от 29.10.2025 ООО "БОС" в сфере водоотведения по модернизации систем инженерной инфраструктуры, на территории муниципального округа Богданович на 2026-2030 годы</t>
  </si>
  <si>
    <t>31.12.2030</t>
  </si>
  <si>
    <t>Инвестиционная программа № 643 от 29.10.2025 МУП "ГОРКОМСЕТИ" в сфере водоотведения по модернизации и реконструкции систем водоотведения, на территории муниципального округа Сухой Лог на 2026-2028 годы</t>
  </si>
  <si>
    <t>Инвестиционная программа № 645 от 29.10.2025 МБУ "ЭХУ СМО СО" в сфере водоотведения по модернизации систем водоотведения, на территории муниципального округа Сосьвинский на 2026-2028 годы</t>
  </si>
  <si>
    <t>Инвестиционная программа № 646 от 29.10.2025 МУП ЖКУ Р.П. БИСЕРТЬ в сфере водоотведения по модернизации систем водоотведения, на территории муниципального округа Бисертский на 2026-2028 годы</t>
  </si>
  <si>
    <t>Инвестиционная программа № 648 от 29.10.2025 МУП НМО"СТОК" в сфере водоотведения по модернизации и реконструкции систем водоотведения, на территории муниципального округа Новолялинский на 2026-2028 годы</t>
  </si>
  <si>
    <t>Инвестиционная программа № 653 от 29.10.2025 МУНИЦИПАЛЬНОЕ УНИТАРНОЕ ПРЕДПРИЯТИЕ "СРЕДНЕУРАЛЬСКОЕ ВОДОПРОВОДНО-КАНАЛИЗАЦИОННОЕ ХОЗЯЙСТВО" в сфере водоотведения по реконструкции и модернизации существующих объектов систем водоотведения, на территории муниципального округа Среднеуральск на 2026-2030 годы</t>
  </si>
  <si>
    <t>Инвестиционная программа № 656 от 29.10.2025 МУП "ГКХ" в сфере водоотведения по модернизации и развитию систем водоотведения, на территории муниципального округа Красноуфимский на 2026-2028 годы</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</si>
  <si>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2026-2028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</si>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</sst>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1" fontId="22" fillId="39" borderId="12" xfId="0" applyFont="1" applyFill="1" applyBorder="1" applyNumberFormat="1">
      <alignment horizontal="center"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ignal-oo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e2d6a2b7-458f-427d-bd81-87332b27708f"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177d8dba-88ca-4bf7-8c43-1d784126bcfc" TargetMode="External"/><Relationship Id="rId2" Type="http://schemas.openxmlformats.org/officeDocument/2006/relationships/hyperlink" Target="https://portal.eias.ru/Portal/DownloadPage.aspx?type=12&amp;guid=177d8dba-88ca-4bf7-8c43-1d784126bcfc"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https://portal.eias.ru/Portal/DownloadPage.aspx?type=12&amp;guid=5ccc1849-2d71-47d7-bd98-67645826a0c7"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ACEB6-89ED-4176-656D-685B003B91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4" width="5.421875" customWidth="1"/>
    <col min="2" max="2" style="2844" width="9.140625" customWidth="1"/>
    <col min="3" max="3" style="2844" width="16.421875" customWidth="1"/>
    <col min="4" max="25" style="2844" width="6.28125" customWidth="1"/>
    <col min="26" max="28" style="2844"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103" t="s">
        <v>1</v>
      </c>
      <c r="C2" s="2103"/>
      <c r="D2" s="2103"/>
      <c r="E2" s="2103"/>
      <c r="F2" s="2103"/>
      <c r="G2" s="2103"/>
      <c r="H2" s="2103"/>
      <c r="I2" s="2103"/>
      <c r="J2" s="2103"/>
      <c r="K2" s="2103"/>
      <c r="L2" s="2103"/>
      <c r="M2" s="2103"/>
      <c r="N2" s="2103"/>
      <c r="O2" s="2103"/>
      <c r="P2" s="2103"/>
      <c r="Q2" s="1711"/>
      <c r="R2" s="1711"/>
      <c r="S2" s="1711"/>
      <c r="T2" s="1711"/>
      <c r="U2" s="1711"/>
      <c r="V2" s="1712"/>
      <c r="W2" s="1711"/>
      <c r="X2" s="1711"/>
      <c r="Y2" s="1708"/>
      <c r="Z2" s="1707"/>
      <c r="AA2" s="1709"/>
      <c r="AB2" s="1707"/>
    </row>
    <row customHeight="1" ht="15.75">
      <c r="A3" s="1707"/>
      <c r="B3" s="2104" t="s">
        <v>2</v>
      </c>
      <c r="C3" s="2104"/>
      <c r="D3" s="2104"/>
      <c r="E3" s="2104"/>
      <c r="F3" s="2104"/>
      <c r="G3" s="2104"/>
      <c r="H3" s="2104"/>
      <c r="I3" s="2104"/>
      <c r="J3" s="2104"/>
      <c r="K3" s="2104"/>
      <c r="L3" s="2104"/>
      <c r="M3" s="2104"/>
      <c r="N3" s="2104"/>
      <c r="O3" s="2104"/>
      <c r="P3" s="210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10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6"/>
      <c r="D5" s="2106"/>
      <c r="E5" s="2106"/>
      <c r="F5" s="2106"/>
      <c r="G5" s="2106"/>
      <c r="H5" s="2106"/>
      <c r="I5" s="2106"/>
      <c r="J5" s="2106"/>
      <c r="K5" s="2106"/>
      <c r="L5" s="2106"/>
      <c r="M5" s="2106"/>
      <c r="N5" s="2106"/>
      <c r="O5" s="2106"/>
      <c r="P5" s="2106"/>
      <c r="Q5" s="2106"/>
      <c r="R5" s="2106"/>
      <c r="S5" s="2106"/>
      <c r="T5" s="2106"/>
      <c r="U5" s="2106"/>
      <c r="V5" s="2106"/>
      <c r="W5" s="2106"/>
      <c r="X5" s="2106"/>
      <c r="Y5" s="2107"/>
      <c r="Z5" s="1714"/>
      <c r="AA5" s="1709"/>
      <c r="AB5" s="1714"/>
    </row>
    <row customHeight="1" ht="15">
      <c r="A6" s="1715"/>
      <c r="B6" s="2108" t="s">
        <v>3</v>
      </c>
      <c r="C6" s="210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8"/>
      <c r="C7" s="210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8"/>
      <c r="C8" s="2109"/>
      <c r="D8" s="1721"/>
      <c r="E8" s="1722" t="s">
        <v>4</v>
      </c>
      <c r="F8" s="2111" t="s">
        <v>5</v>
      </c>
      <c r="G8" s="2112"/>
      <c r="H8" s="2112"/>
      <c r="I8" s="2112"/>
      <c r="J8" s="2112"/>
      <c r="K8" s="2112"/>
      <c r="L8" s="2112"/>
      <c r="M8" s="2112"/>
      <c r="N8" s="1721"/>
      <c r="O8" s="1723" t="s">
        <v>4</v>
      </c>
      <c r="P8" s="2113" t="s">
        <v>6</v>
      </c>
      <c r="Q8" s="2114"/>
      <c r="R8" s="2114"/>
      <c r="S8" s="2114"/>
      <c r="T8" s="2114"/>
      <c r="U8" s="2114"/>
      <c r="V8" s="2114"/>
      <c r="W8" s="2114"/>
      <c r="X8" s="2114"/>
      <c r="Y8" s="1717"/>
      <c r="Z8" s="1718"/>
      <c r="AA8" s="1719"/>
      <c r="AB8" s="1719"/>
    </row>
    <row customHeight="1" ht="15">
      <c r="A9" s="1715"/>
      <c r="B9" s="2108"/>
      <c r="C9" s="2109"/>
      <c r="D9" s="1721"/>
      <c r="E9" s="1724" t="s">
        <v>4</v>
      </c>
      <c r="F9" s="2111" t="s">
        <v>7</v>
      </c>
      <c r="G9" s="2112"/>
      <c r="H9" s="2112"/>
      <c r="I9" s="2112"/>
      <c r="J9" s="2112"/>
      <c r="K9" s="2112"/>
      <c r="L9" s="2112"/>
      <c r="M9" s="2112"/>
      <c r="N9" s="1721"/>
      <c r="O9" s="1725" t="s">
        <v>4</v>
      </c>
      <c r="P9" s="2113" t="s">
        <v>8</v>
      </c>
      <c r="Q9" s="2114"/>
      <c r="R9" s="2114"/>
      <c r="S9" s="2114"/>
      <c r="T9" s="2114"/>
      <c r="U9" s="2114"/>
      <c r="V9" s="2114"/>
      <c r="W9" s="2114"/>
      <c r="X9" s="2114"/>
      <c r="Y9" s="1717"/>
      <c r="Z9" s="1718"/>
      <c r="AA9" s="1719"/>
      <c r="AB9" s="1719"/>
    </row>
    <row customHeight="1" ht="30">
      <c r="A10" s="1715"/>
      <c r="B10" s="2108"/>
      <c r="C10" s="211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15" t="s">
        <v>9</v>
      </c>
      <c r="C11" s="211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8"/>
      <c r="C12" s="2110"/>
      <c r="D12" s="1729"/>
      <c r="E12" s="2112" t="s">
        <v>10</v>
      </c>
      <c r="F12" s="2112"/>
      <c r="G12" s="2112"/>
      <c r="H12" s="2112"/>
      <c r="I12" s="2112"/>
      <c r="J12" s="2112"/>
      <c r="K12" s="2112"/>
      <c r="L12" s="2112"/>
      <c r="M12" s="2112"/>
      <c r="N12" s="2112"/>
      <c r="O12" s="2112"/>
      <c r="P12" s="2112"/>
      <c r="Q12" s="2112"/>
      <c r="R12" s="2112"/>
      <c r="S12" s="2112"/>
      <c r="T12" s="2112"/>
      <c r="U12" s="2112"/>
      <c r="V12" s="2112"/>
      <c r="W12" s="2112"/>
      <c r="X12" s="2112"/>
      <c r="Y12" s="1717"/>
      <c r="Z12" s="1718"/>
      <c r="AA12" s="1719"/>
      <c r="AB12" s="1719"/>
    </row>
    <row customHeight="1" ht="15">
      <c r="A13" s="1715"/>
      <c r="B13" s="2115" t="s">
        <v>11</v>
      </c>
      <c r="C13" s="211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8"/>
      <c r="C14" s="2109"/>
      <c r="D14" s="1721"/>
      <c r="E14" s="2119" t="s">
        <v>12</v>
      </c>
      <c r="F14" s="2119"/>
      <c r="G14" s="2119"/>
      <c r="H14" s="2119"/>
      <c r="I14" s="2119"/>
      <c r="J14" s="2119"/>
      <c r="K14" s="2119"/>
      <c r="L14" s="2119"/>
      <c r="M14" s="2119"/>
      <c r="N14" s="2119"/>
      <c r="O14" s="2119"/>
      <c r="P14" s="2119"/>
      <c r="Q14" s="2119"/>
      <c r="R14" s="2119"/>
      <c r="S14" s="2119"/>
      <c r="T14" s="2119"/>
      <c r="U14" s="2119"/>
      <c r="V14" s="2119"/>
      <c r="W14" s="2119"/>
      <c r="X14" s="2119"/>
      <c r="Y14" s="1717"/>
      <c r="Z14" s="1718"/>
      <c r="AA14" s="1719"/>
      <c r="AB14" s="1719"/>
    </row>
    <row customHeight="1" ht="16.5">
      <c r="A15" s="1715"/>
      <c r="B15" s="2117"/>
      <c r="C15" s="211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8310B-0F21-6657-4C12-3CF50D43A00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64" t="s">
        <v>387</v>
      </c>
      <c r="F4" s="2264"/>
      <c r="G4" s="2265"/>
      <c r="H4" s="2265"/>
      <c r="I4" s="2266"/>
      <c r="J4" s="498"/>
      <c r="K4" s="460"/>
      <c r="L4" s="460"/>
      <c r="W4" s="454">
        <v>22</v>
      </c>
    </row>
    <row s="1642" customFormat="1" customHeight="1" ht="18">
      <c r="A5" s="766"/>
      <c r="D5" s="829"/>
      <c r="E5" s="2240" t="str">
        <f>IF(org=0,"Не определено",org)</f>
        <v>Общество с ограниченной ответственностью "Сигнал", г. Серов</v>
      </c>
      <c r="F5" s="2240"/>
      <c r="G5" s="2241"/>
      <c r="H5" s="2241"/>
      <c r="I5" s="2242"/>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34" t="s">
        <v>299</v>
      </c>
      <c r="F7" s="2234"/>
      <c r="G7" s="2235"/>
      <c r="H7" s="2235"/>
      <c r="I7" s="2235"/>
      <c r="J7" s="2235"/>
      <c r="K7" s="2235"/>
      <c r="L7" s="2249" t="s">
        <v>300</v>
      </c>
      <c r="W7" s="454">
        <v>14</v>
      </c>
    </row>
    <row customHeight="1" ht="48.29999999999999">
      <c r="D8" s="457"/>
      <c r="E8" s="480" t="s">
        <v>88</v>
      </c>
      <c r="F8" s="830"/>
      <c r="G8" s="472" t="s">
        <v>86</v>
      </c>
      <c r="H8" s="472" t="s">
        <v>87</v>
      </c>
      <c r="I8" s="421" t="s">
        <v>85</v>
      </c>
      <c r="J8" s="421" t="s">
        <v>388</v>
      </c>
      <c r="K8" s="421" t="s">
        <v>389</v>
      </c>
      <c r="L8" s="2249"/>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7" t="s">
        <v>390</v>
      </c>
      <c r="M10" s="514"/>
      <c r="N10" s="512"/>
      <c r="O10" s="512"/>
      <c r="P10" s="512"/>
      <c r="Q10" s="512"/>
      <c r="R10" s="512"/>
      <c r="S10" s="512"/>
      <c r="T10" s="512"/>
      <c r="U10" s="512"/>
      <c r="V10" s="512"/>
      <c r="W10" s="454">
        <v>0</v>
      </c>
    </row>
    <row customHeight="1" ht="15" hidden="1">
      <c r="A11" s="2125"/>
      <c r="B11" s="511"/>
      <c r="C11" s="511"/>
      <c r="D11" s="872"/>
      <c r="E11" s="520"/>
      <c r="F11" s="520"/>
      <c r="G11" s="520"/>
      <c r="H11" s="520"/>
      <c r="I11" s="521"/>
      <c r="J11" s="522"/>
      <c r="K11" s="720"/>
      <c r="L11" s="2267"/>
      <c r="M11" s="518"/>
      <c r="N11" s="518"/>
      <c r="O11" s="518"/>
      <c r="P11" s="523"/>
      <c r="Q11" s="523"/>
      <c r="R11" s="524"/>
      <c r="S11" s="518"/>
      <c r="T11" s="518"/>
      <c r="U11" s="518"/>
      <c r="V11" s="518"/>
      <c r="W11" s="454">
        <v>0</v>
      </c>
    </row>
    <row s="1619" customFormat="1" customHeight="1" ht="15">
      <c r="A12" s="2125"/>
      <c r="B12" s="511"/>
      <c r="C12" s="511"/>
      <c r="D12" s="873"/>
      <c r="E12" s="830">
        <v>1</v>
      </c>
      <c r="F12" s="871">
        <v>23</v>
      </c>
      <c r="G12" s="870"/>
      <c r="H12" s="800"/>
      <c r="I12" s="798"/>
      <c r="J12" s="527" t="s">
        <v>65</v>
      </c>
      <c r="K12" s="1171" t="s">
        <v>22</v>
      </c>
      <c r="L12" s="2267"/>
      <c r="M12" s="518"/>
      <c r="N12" s="518"/>
      <c r="O12" s="518"/>
      <c r="P12" s="523" t="s">
        <v>391</v>
      </c>
      <c r="Q12" s="523" t="s">
        <v>392</v>
      </c>
      <c r="R12" s="524" t="s">
        <v>393</v>
      </c>
      <c r="S12" s="518" t="s">
        <v>394</v>
      </c>
      <c r="T12" s="518"/>
      <c r="U12" s="518"/>
      <c r="V12" s="518"/>
      <c r="W12" s="487">
        <v>14</v>
      </c>
    </row>
    <row customHeight="1" ht="15.75">
      <c r="A13" s="2125"/>
      <c r="B13" s="512"/>
      <c r="D13" s="513"/>
      <c r="E13" s="412"/>
      <c r="F13" s="536"/>
      <c r="G13" s="423" t="s">
        <v>102</v>
      </c>
      <c r="H13" s="411"/>
      <c r="I13" s="411"/>
      <c r="J13" s="411"/>
      <c r="K13" s="410"/>
      <c r="L13" s="2248"/>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C49D1-1C95-54A3-FCB1-0AF73DB99D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11"/>
      <c r="Q3" s="359"/>
      <c r="R3" s="360"/>
      <c r="S3" s="1316">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16">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16">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12"/>
      <c r="R6" s="363"/>
      <c r="S6" s="1316">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16">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16">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13"/>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12"/>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93"/>
      <c r="AI17" s="2294" t="s">
        <v>65</v>
      </c>
      <c r="AJ17" s="2293"/>
      <c r="AK17" s="2294" t="s">
        <v>65</v>
      </c>
      <c r="AS17" s="1162">
        <v>0</v>
      </c>
    </row>
    <row customHeight="1" ht="14.25" hidden="1">
      <c r="P18" s="1318"/>
      <c r="AD18" s="1367"/>
      <c r="AE18" s="1367"/>
      <c r="AF18" s="1367"/>
      <c r="AG18" s="335" t="str">
        <f>AH17&amp;"-"&amp;AJ17</f>
        <v>-</v>
      </c>
      <c r="AH18" s="2294"/>
      <c r="AI18" s="2294"/>
      <c r="AJ18" s="2294"/>
      <c r="AK18" s="2294"/>
      <c r="AS18" s="1162">
        <v>0</v>
      </c>
    </row>
    <row customHeight="1" ht="14.25" hidden="1">
      <c r="P19" s="1318"/>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P33" s="1335"/>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640" t="s">
        <v>429</v>
      </c>
      <c r="X40" s="2288" t="s">
        <v>430</v>
      </c>
      <c r="Y40" s="2289"/>
      <c r="Z40" s="2288" t="s">
        <v>431</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228" t="s">
        <v>441</v>
      </c>
      <c r="AA41" s="2296" t="s">
        <v>442</v>
      </c>
      <c r="AB41" s="2297"/>
      <c r="AC41" s="2305"/>
      <c r="AD41" s="2287"/>
      <c r="AE41" s="2310"/>
      <c r="AF41" s="1229" t="s">
        <v>439</v>
      </c>
      <c r="AG41" s="1229" t="s">
        <v>440</v>
      </c>
      <c r="AH41" s="1320"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98">
        <f>OFFSET(AA42,0,-1)+1</f>
        <v>4</v>
      </c>
      <c r="AB42" s="2298"/>
      <c r="AC42" s="1263">
        <f>OFFSET(AC42,0,-2)+1</f>
        <v>5</v>
      </c>
      <c r="AD42" s="1319">
        <f>OFFSET(AD42,0,-1)+1</f>
        <v>6</v>
      </c>
      <c r="AE42" s="1319"/>
      <c r="AF42" s="1319">
        <f>OFFSET(AF42,0,-1)+1</f>
        <v>1</v>
      </c>
      <c r="AG42" s="1319">
        <f>OFFSET(AG42,0,-1)+1</f>
        <v>2</v>
      </c>
      <c r="AH42" s="1319">
        <f>OFFSET(AH42,0,-1)+1</f>
        <v>3</v>
      </c>
      <c r="AI42" s="2298">
        <f>OFFSET(AI42,0,-1)+1</f>
        <v>4</v>
      </c>
      <c r="AJ42" s="2298"/>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84">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157</v>
      </c>
      <c r="B44" s="1370" t="s">
        <v>158</v>
      </c>
      <c r="C44" s="1370"/>
      <c r="D44" s="1370"/>
      <c r="E44" s="2285"/>
      <c r="F44" s="2284">
        <v>1</v>
      </c>
      <c r="G44" s="1370"/>
      <c r="H44" s="1370"/>
      <c r="I44" s="1370"/>
      <c r="J44" s="1370"/>
      <c r="K44" s="1370"/>
      <c r="L44" s="1371"/>
      <c r="M44" s="1372"/>
      <c r="N44" s="1372"/>
      <c r="O44" s="1372"/>
      <c r="P44" s="529"/>
      <c r="Q44" s="359"/>
      <c r="R44" s="360"/>
      <c r="S44" s="1231"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23</v>
      </c>
    </row>
    <row customHeight="1" ht="24">
      <c r="A45" s="1370" t="s">
        <v>157</v>
      </c>
      <c r="B45" s="1370" t="s">
        <v>158</v>
      </c>
      <c r="C45" s="1370" t="s">
        <v>159</v>
      </c>
      <c r="D45" s="1370"/>
      <c r="E45" s="2285"/>
      <c r="F45" s="2285"/>
      <c r="G45" s="2284">
        <v>1</v>
      </c>
      <c r="H45" s="1370"/>
      <c r="I45" s="1370"/>
      <c r="J45" s="1370"/>
      <c r="K45" s="1370"/>
      <c r="L45" s="1371"/>
      <c r="M45" s="1372"/>
      <c r="N45" s="1372"/>
      <c r="O45" s="1372"/>
      <c r="P45" s="361"/>
      <c r="Q45" s="359"/>
      <c r="R45" s="360"/>
      <c r="S45" s="1231"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85"/>
      <c r="F46" s="2285"/>
      <c r="G46" s="2285"/>
      <c r="H46" s="2284">
        <v>1</v>
      </c>
      <c r="I46" s="1370"/>
      <c r="J46" s="1370"/>
      <c r="K46" s="1370"/>
      <c r="L46" s="1371"/>
      <c r="M46" s="1372"/>
      <c r="N46" s="1372"/>
      <c r="O46" s="1372"/>
      <c r="P46" s="361"/>
      <c r="Q46" s="359"/>
      <c r="R46" s="360"/>
      <c r="S46" s="1231"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85"/>
      <c r="F47" s="2285"/>
      <c r="G47" s="2285"/>
      <c r="H47" s="2285"/>
      <c r="I47" s="2282" t="str">
        <f>S46&amp;".1"</f>
        <v>....1</v>
      </c>
      <c r="J47" s="1370"/>
      <c r="K47" s="1370"/>
      <c r="L47" s="1371" t="s">
        <v>402</v>
      </c>
      <c r="P47" s="2283">
        <v>1</v>
      </c>
      <c r="Q47" s="1227"/>
      <c r="R47" s="363"/>
      <c r="S47" s="1231"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85"/>
      <c r="F48" s="2285"/>
      <c r="G48" s="2285"/>
      <c r="H48" s="2285"/>
      <c r="I48" s="2312"/>
      <c r="J48" s="2282" t="str">
        <f>I47&amp;".1"</f>
        <v>....1.1</v>
      </c>
      <c r="K48" s="1370"/>
      <c r="L48" s="1371" t="s">
        <v>405</v>
      </c>
      <c r="P48" s="2283"/>
      <c r="Q48" s="2283">
        <v>1</v>
      </c>
      <c r="R48" s="364"/>
      <c r="S48" s="1231"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23</v>
      </c>
    </row>
    <row customHeight="1" ht="24">
      <c r="A49" s="1370" t="s">
        <v>157</v>
      </c>
      <c r="B49" s="1370" t="s">
        <v>158</v>
      </c>
      <c r="C49" s="1370" t="s">
        <v>159</v>
      </c>
      <c r="D49" s="1370" t="s">
        <v>160</v>
      </c>
      <c r="E49" s="2285"/>
      <c r="F49" s="2285"/>
      <c r="G49" s="2285"/>
      <c r="H49" s="2285"/>
      <c r="I49" s="2312"/>
      <c r="J49" s="2312"/>
      <c r="K49" s="2282" t="str">
        <f>J48&amp;".1"</f>
        <v>....1.1.1</v>
      </c>
      <c r="L49" s="1371" t="s">
        <v>408</v>
      </c>
      <c r="P49" s="2283"/>
      <c r="Q49" s="2283"/>
      <c r="R49" s="364">
        <v>1</v>
      </c>
      <c r="S49" s="1231" t="str">
        <f>$K49</f>
        <v>....1.1.1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409</v>
      </c>
      <c r="AN49" s="518">
        <f>STRCHECKDATE(V50:AL50)</f>
      </c>
      <c r="AO49" s="507"/>
      <c r="AP49" s="507" t="str">
        <f>IF(T49="","",T49)</f>
        <v/>
      </c>
      <c r="AQ49" s="507"/>
      <c r="AR49" s="507"/>
      <c r="AS49" s="1162">
        <v>23</v>
      </c>
    </row>
    <row customHeight="1" ht="1.05">
      <c r="A50" s="1370" t="s">
        <v>157</v>
      </c>
      <c r="B50" s="1370" t="s">
        <v>158</v>
      </c>
      <c r="C50" s="1370" t="s">
        <v>159</v>
      </c>
      <c r="D50" s="1370" t="s">
        <v>160</v>
      </c>
      <c r="E50" s="2285"/>
      <c r="F50" s="2285"/>
      <c r="G50" s="2285"/>
      <c r="H50" s="2285"/>
      <c r="I50" s="2312"/>
      <c r="J50" s="2312"/>
      <c r="K50" s="2282"/>
      <c r="L50" s="1371"/>
      <c r="P50" s="2283"/>
      <c r="Q50" s="2283"/>
      <c r="R50" s="364"/>
      <c r="S50" s="1230"/>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157</v>
      </c>
      <c r="B51" s="1370" t="s">
        <v>158</v>
      </c>
      <c r="C51" s="1370" t="s">
        <v>159</v>
      </c>
      <c r="D51" s="1370" t="s">
        <v>160</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85"/>
      <c r="F52" s="2285"/>
      <c r="G52" s="2285"/>
      <c r="H52" s="2285"/>
      <c r="I52" s="2282"/>
      <c r="J52" s="1370"/>
      <c r="K52" s="1370"/>
      <c r="L52" s="1371"/>
      <c r="P52" s="2283"/>
      <c r="Q52" s="1227"/>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7.2">
      <c r="O60" s="544"/>
      <c r="P60" s="1310"/>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64</v>
      </c>
    </row>
    <row customHeight="1" ht="14.699999999999998">
      <c r="O61" s="544"/>
      <c r="AS61" s="1162">
        <v>14</v>
      </c>
    </row>
    <row customHeight="1" ht="18.75">
      <c r="O62" s="544"/>
      <c r="P62" s="1335"/>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P63" s="1335"/>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P64" s="1335"/>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7FDCE-C3AF-8984-EF6A-12E2CBC736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162</v>
      </c>
      <c r="B44" s="1370" t="s">
        <v>163</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162</v>
      </c>
      <c r="B45" s="1370" t="s">
        <v>163</v>
      </c>
      <c r="C45" s="1370" t="s">
        <v>164</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85"/>
      <c r="F49" s="2285"/>
      <c r="G49" s="2285"/>
      <c r="H49" s="2285"/>
      <c r="I49" s="2312"/>
      <c r="J49" s="2312"/>
      <c r="K49" s="2282" t="str">
        <f>J48&amp;".1"</f>
        <v>....1.1.1</v>
      </c>
      <c r="L49" s="1371" t="s">
        <v>408</v>
      </c>
      <c r="P49" s="2283"/>
      <c r="Q49" s="2283"/>
      <c r="R49" s="364">
        <v>1</v>
      </c>
      <c r="S49" s="1343" t="str">
        <f>$K49</f>
        <v>....1.1.1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409</v>
      </c>
      <c r="AN49" s="518">
        <f>STRCHECKDATE(V50:AL50)</f>
      </c>
      <c r="AO49" s="507"/>
      <c r="AP49" s="507" t="str">
        <f>IF(T49="","",T49)</f>
        <v/>
      </c>
      <c r="AQ49" s="507"/>
      <c r="AR49" s="507"/>
      <c r="AS49" s="1162">
        <v>21</v>
      </c>
    </row>
    <row customHeight="1" ht="1.05">
      <c r="A50" s="1370" t="s">
        <v>162</v>
      </c>
      <c r="B50" s="1370" t="s">
        <v>163</v>
      </c>
      <c r="C50" s="1370" t="s">
        <v>164</v>
      </c>
      <c r="D50" s="1370" t="s">
        <v>165</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162</v>
      </c>
      <c r="B51" s="1370" t="s">
        <v>163</v>
      </c>
      <c r="C51" s="1370" t="s">
        <v>164</v>
      </c>
      <c r="D51" s="1370" t="s">
        <v>165</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5.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62</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8FFE8-5BB6-CCCD-1AC7-977745AA0B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6"/>
      <c r="F13" s="2316"/>
      <c r="G13" s="2315"/>
      <c r="H13" s="1381"/>
      <c r="I13" s="1381"/>
      <c r="J13" s="1381"/>
      <c r="K13" s="1381"/>
      <c r="L13" s="1384"/>
      <c r="M13" s="1385"/>
      <c r="N13" s="1385"/>
      <c r="O13" s="358"/>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6"/>
      <c r="F14" s="2315"/>
      <c r="G14" s="1381"/>
      <c r="H14" s="1381"/>
      <c r="I14" s="1381"/>
      <c r="J14" s="1381"/>
      <c r="K14" s="1381"/>
      <c r="L14" s="1384"/>
      <c r="M14" s="1386"/>
      <c r="N14" s="1386"/>
      <c r="O14" s="35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15"/>
      <c r="F15" s="1381"/>
      <c r="G15" s="1381"/>
      <c r="H15" s="1381"/>
      <c r="I15" s="1381"/>
      <c r="J15" s="1381"/>
      <c r="K15" s="1381"/>
      <c r="L15" s="1384"/>
      <c r="M15" s="1386"/>
      <c r="N15" s="1386"/>
      <c r="O15" s="35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65</v>
      </c>
      <c r="AJ17" s="2293"/>
      <c r="AK17" s="2294" t="s">
        <v>65</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316"/>
      <c r="F54" s="2316"/>
      <c r="G54" s="2315"/>
      <c r="H54" s="1381"/>
      <c r="I54" s="1381"/>
      <c r="J54" s="1381"/>
      <c r="K54" s="1381"/>
      <c r="L54" s="1384"/>
      <c r="M54" s="1385"/>
      <c r="N54" s="1385"/>
      <c r="O54" s="358"/>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316"/>
      <c r="F55" s="2315"/>
      <c r="G55" s="1381"/>
      <c r="H55" s="1381"/>
      <c r="I55" s="1381"/>
      <c r="J55" s="1381"/>
      <c r="K55" s="1381"/>
      <c r="L55" s="1384"/>
      <c r="M55" s="1386"/>
      <c r="N55" s="1386"/>
      <c r="O55" s="35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315"/>
      <c r="F56" s="1382"/>
      <c r="G56" s="1382"/>
      <c r="H56" s="1382"/>
      <c r="I56" s="1382"/>
      <c r="J56" s="1382"/>
      <c r="K56" s="1382"/>
      <c r="L56" s="1388"/>
      <c r="M56" s="1386"/>
      <c r="N56" s="1386"/>
      <c r="O56" s="358"/>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CA671-F0AC-ECDE-B309-271CB7E865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6"/>
      <c r="F13" s="2316"/>
      <c r="G13" s="2315"/>
      <c r="H13" s="1978"/>
      <c r="I13" s="1978"/>
      <c r="J13" s="1978"/>
      <c r="K13" s="1978"/>
      <c r="L13" s="1387"/>
      <c r="M13" s="1617"/>
      <c r="N13" s="1617"/>
      <c r="O13" s="164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6"/>
      <c r="F14" s="2315"/>
      <c r="G14" s="1978"/>
      <c r="H14" s="1978"/>
      <c r="I14" s="1978"/>
      <c r="J14" s="1978"/>
      <c r="K14" s="1978"/>
      <c r="L14" s="1387"/>
      <c r="M14" s="1979"/>
      <c r="N14" s="1979"/>
      <c r="O14" s="1642"/>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15"/>
      <c r="F15" s="1978"/>
      <c r="G15" s="1978"/>
      <c r="H15" s="1978"/>
      <c r="I15" s="1978"/>
      <c r="J15" s="1978"/>
      <c r="K15" s="1978"/>
      <c r="L15" s="1387"/>
      <c r="M15" s="1979"/>
      <c r="N15" s="1979"/>
      <c r="O15" s="1642"/>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65</v>
      </c>
      <c r="AJ17" s="2293"/>
      <c r="AK17" s="2294" t="s">
        <v>65</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78"/>
      <c r="E54" s="2316"/>
      <c r="F54" s="2316"/>
      <c r="G54" s="2315"/>
      <c r="H54" s="1978"/>
      <c r="I54" s="1978"/>
      <c r="J54" s="1978"/>
      <c r="K54" s="1978"/>
      <c r="L54" s="1387"/>
      <c r="M54" s="1617"/>
      <c r="N54" s="1617"/>
      <c r="O54" s="164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78"/>
      <c r="D55" s="1978"/>
      <c r="E55" s="2316"/>
      <c r="F55" s="2315"/>
      <c r="G55" s="1978"/>
      <c r="H55" s="1978"/>
      <c r="I55" s="1978"/>
      <c r="J55" s="1978"/>
      <c r="K55" s="1978"/>
      <c r="L55" s="1387"/>
      <c r="M55" s="1979"/>
      <c r="N55" s="1979"/>
      <c r="O55" s="1642"/>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315"/>
      <c r="F56" s="1274"/>
      <c r="G56" s="1274"/>
      <c r="H56" s="1274"/>
      <c r="I56" s="1274"/>
      <c r="J56" s="1274"/>
      <c r="K56" s="1274"/>
      <c r="L56" s="1317"/>
      <c r="M56" s="1979"/>
      <c r="N56" s="1979"/>
      <c r="O56" s="1642"/>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427EB-69F5-B734-E50E-BE0E78A6E8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332"/>
      <c r="W8" s="758"/>
      <c r="X8" s="332"/>
      <c r="Y8" s="391"/>
      <c r="Z8" s="2291"/>
      <c r="AA8" s="2133" t="s">
        <v>65</v>
      </c>
      <c r="AB8" s="2291"/>
      <c r="AC8" s="2133" t="s">
        <v>65</v>
      </c>
      <c r="AD8" s="332"/>
      <c r="AE8" s="758"/>
      <c r="AF8" s="332"/>
      <c r="AG8" s="391"/>
      <c r="AH8" s="2291"/>
      <c r="AI8" s="2133" t="s">
        <v>65</v>
      </c>
      <c r="AJ8" s="2291"/>
      <c r="AK8" s="2133" t="s">
        <v>65</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28</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17"/>
      <c r="Y39" s="2317"/>
      <c r="Z39" s="2301"/>
      <c r="AA39" s="2301"/>
      <c r="AB39" s="2302"/>
      <c r="AC39" s="2303" t="s">
        <v>425</v>
      </c>
      <c r="AD39" s="2300" t="s">
        <v>424</v>
      </c>
      <c r="AE39" s="2301"/>
      <c r="AF39" s="2317"/>
      <c r="AG39" s="2317"/>
      <c r="AH39" s="2301"/>
      <c r="AI39" s="2301"/>
      <c r="AJ39" s="2302"/>
      <c r="AK39" s="2303" t="s">
        <v>426</v>
      </c>
      <c r="AL39" s="2306" t="s">
        <v>427</v>
      </c>
      <c r="AM39" s="2153"/>
      <c r="AS39" s="1162">
        <v>14</v>
      </c>
    </row>
    <row customHeight="1" ht="24">
      <c r="Q40" s="383"/>
      <c r="R40" s="383"/>
      <c r="S40" s="2299"/>
      <c r="T40" s="2235"/>
      <c r="U40" s="1038"/>
      <c r="V40" s="2318" t="s">
        <v>428</v>
      </c>
      <c r="W40" s="2320" t="s">
        <v>429</v>
      </c>
      <c r="X40" s="1383" t="s">
        <v>430</v>
      </c>
      <c r="Y40" s="1383"/>
      <c r="Z40" s="2295" t="s">
        <v>431</v>
      </c>
      <c r="AA40" s="2295"/>
      <c r="AB40" s="2289"/>
      <c r="AC40" s="2304"/>
      <c r="AD40" s="2318" t="s">
        <v>428</v>
      </c>
      <c r="AE40" s="2320" t="s">
        <v>429</v>
      </c>
      <c r="AF40" s="1383" t="s">
        <v>430</v>
      </c>
      <c r="AG40" s="1383"/>
      <c r="AH40" s="2295" t="s">
        <v>431</v>
      </c>
      <c r="AI40" s="2295"/>
      <c r="AJ40" s="2289"/>
      <c r="AK40" s="2304"/>
      <c r="AL40" s="2307"/>
      <c r="AM40" s="2153"/>
      <c r="AS40" s="1162">
        <v>23</v>
      </c>
    </row>
    <row s="1273" customFormat="1" customHeight="1" ht="24">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M41" s="1369"/>
      <c r="N41" s="1369"/>
      <c r="O41" s="1369"/>
      <c r="P41" s="1335"/>
      <c r="Q41" s="383"/>
      <c r="R41" s="383"/>
      <c r="S41" s="2299"/>
      <c r="T41" s="2235"/>
      <c r="U41" s="309"/>
      <c r="V41" s="2319"/>
      <c r="W41" s="2321"/>
      <c r="X41" s="1380" t="s">
        <v>439</v>
      </c>
      <c r="Y41" s="1380" t="s">
        <v>440</v>
      </c>
      <c r="Z41" s="1341" t="s">
        <v>441</v>
      </c>
      <c r="AA41" s="2296" t="s">
        <v>442</v>
      </c>
      <c r="AB41" s="2297"/>
      <c r="AC41" s="2305"/>
      <c r="AD41" s="2319"/>
      <c r="AE41" s="2321"/>
      <c r="AF41" s="1380" t="s">
        <v>439</v>
      </c>
      <c r="AG41" s="1380" t="s">
        <v>440</v>
      </c>
      <c r="AH41" s="1341" t="s">
        <v>441</v>
      </c>
      <c r="AI41" s="2296" t="s">
        <v>442</v>
      </c>
      <c r="AJ41" s="2297"/>
      <c r="AK41" s="2305"/>
      <c r="AL41" s="2308"/>
      <c r="AM41" s="2153"/>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98">
        <f>OFFSET(AA42,0,-1)+1</f>
        <v>4</v>
      </c>
      <c r="AB42" s="2298"/>
      <c r="AC42" s="1342">
        <f>OFFSET(AC42,0,-2)+1</f>
        <v>5</v>
      </c>
      <c r="AD42" s="1342">
        <f>OFFSET(AD42,0,-1)+1</f>
        <v>6</v>
      </c>
      <c r="AE42" s="1342"/>
      <c r="AF42" s="1348">
        <f>OFFSET(AF42,0,-1)+1</f>
        <v>1</v>
      </c>
      <c r="AG42" s="1348">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193</v>
      </c>
      <c r="B44" s="1370" t="s">
        <v>194</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193</v>
      </c>
      <c r="B45" s="1370" t="s">
        <v>194</v>
      </c>
      <c r="C45" s="1370" t="s">
        <v>195</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85"/>
      <c r="F49" s="2285"/>
      <c r="G49" s="2285"/>
      <c r="H49" s="2285"/>
      <c r="I49" s="2312"/>
      <c r="J49" s="2312"/>
      <c r="K49" s="2282" t="str">
        <f>J48&amp;".1"</f>
        <v>....1.1.1</v>
      </c>
      <c r="L49" s="1371" t="s">
        <v>408</v>
      </c>
      <c r="P49" s="2283"/>
      <c r="Q49" s="2283"/>
      <c r="R49" s="364">
        <v>1</v>
      </c>
      <c r="S49" s="1343" t="str">
        <f>$K49</f>
        <v>....1.1.1</v>
      </c>
      <c r="T49" s="1354"/>
      <c r="U49" s="307"/>
      <c r="V49" s="332"/>
      <c r="W49" s="758"/>
      <c r="X49" s="332"/>
      <c r="Y49" s="391"/>
      <c r="Z49" s="2291"/>
      <c r="AA49" s="2133" t="s">
        <v>65</v>
      </c>
      <c r="AB49" s="2291"/>
      <c r="AC49" s="2133" t="s">
        <v>65</v>
      </c>
      <c r="AD49" s="332"/>
      <c r="AE49" s="758"/>
      <c r="AF49" s="332"/>
      <c r="AG49" s="391"/>
      <c r="AH49" s="2291"/>
      <c r="AI49" s="2133" t="s">
        <v>65</v>
      </c>
      <c r="AJ49" s="2313"/>
      <c r="AK49" s="2133" t="s">
        <v>65</v>
      </c>
      <c r="AL49" s="1355"/>
      <c r="AM49" s="2279" t="s">
        <v>409</v>
      </c>
      <c r="AN49" s="518">
        <f>STRCHECKDATE(V50:AL50)</f>
      </c>
      <c r="AO49" s="507"/>
      <c r="AP49" s="507" t="str">
        <f>IF(T49="","",T49)</f>
        <v/>
      </c>
      <c r="AQ49" s="507"/>
      <c r="AR49" s="507"/>
      <c r="AS49" s="1162">
        <v>21</v>
      </c>
    </row>
    <row customHeight="1" ht="1.05">
      <c r="A50" s="1370" t="s">
        <v>193</v>
      </c>
      <c r="B50" s="1370" t="s">
        <v>194</v>
      </c>
      <c r="C50" s="1370" t="s">
        <v>195</v>
      </c>
      <c r="D50" s="1370" t="s">
        <v>196</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193</v>
      </c>
      <c r="B51" s="1370" t="s">
        <v>194</v>
      </c>
      <c r="C51" s="1370" t="s">
        <v>195</v>
      </c>
      <c r="D51" s="1370" t="s">
        <v>196</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78.7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75</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39.7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4E944-A27E-465E-E46A-F341DECC4F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60</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445</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169</v>
      </c>
      <c r="B44" s="1370" t="s">
        <v>170</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169</v>
      </c>
      <c r="B45" s="1370" t="s">
        <v>170</v>
      </c>
      <c r="C45" s="1370" t="s">
        <v>171</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169</v>
      </c>
      <c r="B48" s="1370" t="s">
        <v>170</v>
      </c>
      <c r="C48" s="1370" t="s">
        <v>171</v>
      </c>
      <c r="D48" s="1370" t="s">
        <v>172</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446</v>
      </c>
      <c r="AN49" s="518">
        <f>STRCHECKDATE(V50:AL50)</f>
      </c>
      <c r="AO49" s="507"/>
      <c r="AP49" s="507" t="str">
        <f>IF(T49="","",T49)</f>
        <v/>
      </c>
      <c r="AQ49" s="507"/>
      <c r="AR49" s="507"/>
      <c r="AS49" s="1162">
        <v>21</v>
      </c>
    </row>
    <row customHeight="1" ht="1.05">
      <c r="A50" s="1370" t="s">
        <v>169</v>
      </c>
      <c r="B50" s="1370" t="s">
        <v>170</v>
      </c>
      <c r="C50" s="1370" t="s">
        <v>171</v>
      </c>
      <c r="D50" s="1370" t="s">
        <v>172</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169</v>
      </c>
      <c r="B51" s="1370" t="s">
        <v>170</v>
      </c>
      <c r="C51" s="1370" t="s">
        <v>171</v>
      </c>
      <c r="D51" s="1370" t="s">
        <v>172</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19</v>
      </c>
    </row>
    <row customHeight="1" ht="29.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28</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4E84A-8942-8C34-B0CC-05F9B4A9B8D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2012">
        <f>INDEX(PT_DIFFERENTIATION_NUM_CS,MATCH(C4,PT_DIFFERENTIATION_CS_ID,0))</f>
      </c>
      <c r="T4" s="2016" t="s">
        <v>398</v>
      </c>
      <c r="U4" s="2017"/>
      <c r="V4" s="2326"/>
      <c r="W4" s="2327"/>
      <c r="X4" s="2327"/>
      <c r="Y4" s="2327"/>
      <c r="Z4" s="2327"/>
      <c r="AA4" s="2327"/>
      <c r="AB4" s="2327"/>
      <c r="AC4" s="2328"/>
      <c r="AD4" s="2326">
        <f>INDEX(PT_DIFFERENTIATION_CS,MATCH(C4,PT_DIFFERENTIATION_CS_ID,0))</f>
      </c>
      <c r="AE4" s="2327"/>
      <c r="AF4" s="2327"/>
      <c r="AG4" s="2327"/>
      <c r="AH4" s="2327"/>
      <c r="AI4" s="2327"/>
      <c r="AJ4" s="2327"/>
      <c r="AK4" s="2327"/>
      <c r="AL4" s="2328"/>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1642"/>
      <c r="S5" s="2011">
        <f>INDEX(PT_DIFFERENTIATION_NUM_IST_TE,MATCH(D5,PT_DIFFERENTIATION_IST_TE_ID,0))</f>
      </c>
      <c r="T5" s="317" t="s">
        <v>400</v>
      </c>
      <c r="U5" s="307"/>
      <c r="V5" s="2329"/>
      <c r="W5" s="2329"/>
      <c r="X5" s="2329"/>
      <c r="Y5" s="2329"/>
      <c r="Z5" s="2329"/>
      <c r="AA5" s="2329"/>
      <c r="AB5" s="2329"/>
      <c r="AC5" s="2329"/>
      <c r="AD5" s="2329">
        <f>INDEX(PT_DIFFERENTIATION_IST_TE,MATCH(D5,PT_DIFFERENTIATION_IST_TE_ID,0))</f>
      </c>
      <c r="AE5" s="2329"/>
      <c r="AF5" s="2329"/>
      <c r="AG5" s="2329"/>
      <c r="AH5" s="2329"/>
      <c r="AI5" s="2329"/>
      <c r="AJ5" s="2329"/>
      <c r="AK5" s="2329"/>
      <c r="AL5" s="2329"/>
      <c r="AM5" s="2014" t="s">
        <v>401</v>
      </c>
      <c r="AO5" s="507"/>
      <c r="AP5" s="507" t="str">
        <f>IF(T5="","",T5)</f>
        <v>Источник тепловой энергии  </v>
      </c>
      <c r="AQ5" s="507"/>
      <c r="AR5" s="507"/>
      <c r="AS5" s="1162">
        <v>0</v>
      </c>
    </row>
    <row customHeight="1" ht="0.75" hidden="1">
      <c r="A6" s="1370"/>
      <c r="B6" s="1370"/>
      <c r="C6" s="1370"/>
      <c r="D6" s="1370"/>
      <c r="E6" s="2285"/>
      <c r="F6" s="2285"/>
      <c r="G6" s="2285"/>
      <c r="H6" s="2285"/>
      <c r="I6" s="2282">
        <f>S5&amp;".1"</f>
      </c>
      <c r="J6" s="1370"/>
      <c r="K6" s="1370"/>
      <c r="L6" s="1371" t="s">
        <v>402</v>
      </c>
      <c r="M6" s="544"/>
      <c r="P6" s="2283">
        <v>1</v>
      </c>
      <c r="Q6" s="1338"/>
      <c r="R6" s="2010"/>
      <c r="S6" s="1049"/>
      <c r="T6" s="1390"/>
      <c r="U6" s="1391"/>
      <c r="V6" s="2330"/>
      <c r="W6" s="2330"/>
      <c r="X6" s="2330"/>
      <c r="Y6" s="2330"/>
      <c r="Z6" s="2330"/>
      <c r="AA6" s="2330"/>
      <c r="AB6" s="2330"/>
      <c r="AC6" s="2330"/>
      <c r="AD6" s="2330"/>
      <c r="AE6" s="2330"/>
      <c r="AF6" s="2330"/>
      <c r="AG6" s="2330"/>
      <c r="AH6" s="2330"/>
      <c r="AI6" s="2330"/>
      <c r="AJ6" s="2330"/>
      <c r="AK6" s="2330"/>
      <c r="AL6" s="2330"/>
      <c r="AM6" s="2015"/>
      <c r="AO6" s="507"/>
      <c r="AP6" s="507" t="str">
        <f>IF(T6="","",T6)</f>
        <v/>
      </c>
      <c r="AQ6" s="507"/>
      <c r="AR6" s="507"/>
      <c r="AS6" s="1162">
        <v>0</v>
      </c>
    </row>
    <row customHeight="1" ht="84" hidden="1">
      <c r="A7" s="1370"/>
      <c r="B7" s="1370"/>
      <c r="C7" s="1370"/>
      <c r="D7" s="1370"/>
      <c r="E7" s="2285"/>
      <c r="F7" s="2285"/>
      <c r="G7" s="2285"/>
      <c r="H7" s="2285"/>
      <c r="I7" s="2312"/>
      <c r="J7" s="2282">
        <f>I6&amp;".1"</f>
      </c>
      <c r="K7" s="1370"/>
      <c r="L7" s="1371" t="s">
        <v>405</v>
      </c>
      <c r="M7" s="544"/>
      <c r="N7" s="1373"/>
      <c r="P7" s="2283"/>
      <c r="Q7" s="2283">
        <v>1</v>
      </c>
      <c r="R7" s="1649"/>
      <c r="S7" s="2011">
        <f>$J7</f>
      </c>
      <c r="T7" s="293" t="s">
        <v>406</v>
      </c>
      <c r="U7" s="307"/>
      <c r="V7" s="2331"/>
      <c r="W7" s="2331"/>
      <c r="X7" s="2331"/>
      <c r="Y7" s="2331"/>
      <c r="Z7" s="2331"/>
      <c r="AA7" s="2331"/>
      <c r="AB7" s="2331"/>
      <c r="AC7" s="2331"/>
      <c r="AD7" s="2331"/>
      <c r="AE7" s="2331"/>
      <c r="AF7" s="2331"/>
      <c r="AG7" s="2331"/>
      <c r="AH7" s="2331"/>
      <c r="AI7" s="2331"/>
      <c r="AJ7" s="2331"/>
      <c r="AK7" s="2331"/>
      <c r="AL7" s="2331"/>
      <c r="AM7" s="2014" t="s">
        <v>407</v>
      </c>
      <c r="AO7" s="507"/>
      <c r="AP7" s="507" t="str">
        <f>IF(T7="","",T7)</f>
        <v>Группа потребителей</v>
      </c>
      <c r="AQ7" s="507"/>
      <c r="AR7" s="507"/>
      <c r="AS7" s="1162">
        <v>0</v>
      </c>
    </row>
    <row customHeight="1" ht="11.25" hidden="1">
      <c r="A8" s="1370"/>
      <c r="B8" s="1370"/>
      <c r="C8" s="1370"/>
      <c r="D8" s="1370"/>
      <c r="E8" s="2285"/>
      <c r="F8" s="2285"/>
      <c r="G8" s="2285"/>
      <c r="H8" s="2285"/>
      <c r="I8" s="2312"/>
      <c r="J8" s="2312"/>
      <c r="K8" s="2282">
        <f>J7&amp;".1"</f>
      </c>
      <c r="L8" s="1371" t="s">
        <v>408</v>
      </c>
      <c r="M8" s="544"/>
      <c r="N8" s="1373"/>
      <c r="O8" s="1373"/>
      <c r="P8" s="2283"/>
      <c r="Q8" s="2283"/>
      <c r="R8" s="364">
        <v>1</v>
      </c>
      <c r="S8" s="2013">
        <f>$K8</f>
      </c>
      <c r="T8" s="2018"/>
      <c r="U8" s="2019"/>
      <c r="V8" s="2020"/>
      <c r="W8" s="1356"/>
      <c r="X8" s="2020"/>
      <c r="Y8" s="2021"/>
      <c r="Z8" s="2332"/>
      <c r="AA8" s="2138" t="s">
        <v>65</v>
      </c>
      <c r="AB8" s="2332"/>
      <c r="AC8" s="2138" t="s">
        <v>65</v>
      </c>
      <c r="AD8" s="2020"/>
      <c r="AE8" s="1356"/>
      <c r="AF8" s="2020"/>
      <c r="AG8" s="2021"/>
      <c r="AH8" s="2332"/>
      <c r="AI8" s="2138" t="s">
        <v>65</v>
      </c>
      <c r="AJ8" s="2332"/>
      <c r="AK8" s="2138" t="s">
        <v>65</v>
      </c>
      <c r="AL8" s="1356"/>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1.2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250"/>
      <c r="AS26" s="1162">
        <v>52</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428</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181</v>
      </c>
      <c r="B45" s="1370" t="s">
        <v>182</v>
      </c>
      <c r="C45" s="1370" t="s">
        <v>183</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181</v>
      </c>
      <c r="B48" s="1370" t="s">
        <v>182</v>
      </c>
      <c r="C48" s="1370" t="s">
        <v>183</v>
      </c>
      <c r="D48" s="1370" t="s">
        <v>184</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446</v>
      </c>
      <c r="AN49" s="518">
        <f>STRCHECKDATE(V50:AL50)</f>
      </c>
      <c r="AO49" s="507"/>
      <c r="AP49" s="507" t="str">
        <f>IF(T49="","",T49)</f>
        <v/>
      </c>
      <c r="AQ49" s="507"/>
      <c r="AR49" s="507"/>
      <c r="AS49" s="1162">
        <v>21</v>
      </c>
    </row>
    <row customHeight="1" ht="1.05">
      <c r="A50" s="1370" t="s">
        <v>181</v>
      </c>
      <c r="B50" s="1370" t="s">
        <v>182</v>
      </c>
      <c r="C50" s="1370" t="s">
        <v>183</v>
      </c>
      <c r="D50" s="1370" t="s">
        <v>184</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181</v>
      </c>
      <c r="B51" s="1370" t="s">
        <v>182</v>
      </c>
      <c r="C51" s="1370" t="s">
        <v>183</v>
      </c>
      <c r="D51" s="1370" t="s">
        <v>184</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22</v>
      </c>
    </row>
    <row customHeight="1" ht="30.4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29</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88DBF-F01A-6401-9777-24EAA66DF2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65</v>
      </c>
      <c r="AB8" s="2291"/>
      <c r="AC8" s="2133" t="s">
        <v>65</v>
      </c>
      <c r="AD8" s="758"/>
      <c r="AE8" s="332"/>
      <c r="AF8" s="758"/>
      <c r="AG8" s="1264"/>
      <c r="AH8" s="2291"/>
      <c r="AI8" s="2133" t="s">
        <v>65</v>
      </c>
      <c r="AJ8" s="2291"/>
      <c r="AK8" s="2133" t="s">
        <v>65</v>
      </c>
      <c r="AL8" s="332"/>
      <c r="AM8" s="2279" t="s">
        <v>409</v>
      </c>
      <c r="AN8" s="518">
        <f>STRCHECKDATE(V9:AL9)</f>
      </c>
      <c r="AO8" s="507"/>
      <c r="AP8" s="507" t="str">
        <f>IF(T8="","",T8)</f>
        <v/>
      </c>
      <c r="AQ8" s="507"/>
      <c r="AR8" s="507"/>
      <c r="AS8" s="1162">
        <v>0</v>
      </c>
    </row>
    <row customHeight="1" ht="14.2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65</v>
      </c>
      <c r="AJ17" s="2293"/>
      <c r="AK17" s="2294" t="s">
        <v>65</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51</v>
      </c>
    </row>
    <row customHeight="1" ht="14.699999999999998">
      <c r="Q27" s="383"/>
      <c r="R27" s="383"/>
      <c r="S27" s="2275" t="str">
        <f>IF(org=0,"Не определено",org)</f>
        <v>Общество с ограниченной ответственностью "Сигнал", г. Серов</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187</v>
      </c>
      <c r="B45" s="1370" t="s">
        <v>188</v>
      </c>
      <c r="C45" s="1370" t="s">
        <v>189</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187</v>
      </c>
      <c r="B48" s="1370" t="s">
        <v>188</v>
      </c>
      <c r="C48" s="1370" t="s">
        <v>189</v>
      </c>
      <c r="D48" s="1370" t="s">
        <v>190</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65</v>
      </c>
      <c r="AB49" s="2291"/>
      <c r="AC49" s="2133" t="s">
        <v>65</v>
      </c>
      <c r="AD49" s="758"/>
      <c r="AE49" s="332"/>
      <c r="AF49" s="758"/>
      <c r="AG49" s="1264"/>
      <c r="AH49" s="2291"/>
      <c r="AI49" s="2133" t="s">
        <v>65</v>
      </c>
      <c r="AJ49" s="2313"/>
      <c r="AK49" s="2133" t="s">
        <v>65</v>
      </c>
      <c r="AL49" s="1355"/>
      <c r="AM49" s="2279" t="s">
        <v>446</v>
      </c>
      <c r="AN49" s="518">
        <f>STRCHECKDATE(V50:AL50)</f>
      </c>
      <c r="AO49" s="507"/>
      <c r="AP49" s="507" t="str">
        <f>IF(T49="","",T49)</f>
        <v/>
      </c>
      <c r="AQ49" s="507"/>
      <c r="AR49" s="507"/>
      <c r="AS49" s="1162">
        <v>21</v>
      </c>
    </row>
    <row customHeight="1" ht="0">
      <c r="A50" s="1370" t="s">
        <v>187</v>
      </c>
      <c r="B50" s="1370" t="s">
        <v>188</v>
      </c>
      <c r="C50" s="1370" t="s">
        <v>189</v>
      </c>
      <c r="D50" s="1370" t="s">
        <v>190</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0</v>
      </c>
    </row>
    <row customHeight="1" ht="11.549999999999999">
      <c r="A51" s="1370" t="s">
        <v>187</v>
      </c>
      <c r="B51" s="1370" t="s">
        <v>188</v>
      </c>
      <c r="C51" s="1370" t="s">
        <v>189</v>
      </c>
      <c r="D51" s="1370" t="s">
        <v>190</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14</v>
      </c>
    </row>
    <row customHeight="1" ht="14.699999999999998">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14</v>
      </c>
    </row>
    <row customHeight="1" ht="14.699999999999998">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14</v>
      </c>
    </row>
    <row customHeight="1" ht="14.699999999999998">
      <c r="O62" s="544"/>
      <c r="AS62" s="1162">
        <v>14</v>
      </c>
    </row>
    <row customHeight="1" ht="14.699999999999998">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14</v>
      </c>
    </row>
    <row customHeight="1" ht="14.699999999999998">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14</v>
      </c>
    </row>
    <row customHeight="1" ht="14.699999999999998">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D5529-62EF-B757-1191-84FD3DFD976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51" width="19.140625" hidden="1" customWidth="1"/>
    <col min="14" max="15" style="2423" width="12.28125" hidden="1" customWidth="1"/>
    <col min="16" max="16" style="2423" width="23.421875" hidden="1" customWidth="1"/>
    <col min="17" max="17" style="2423" width="3.7109375" hidden="1" customWidth="1"/>
    <col min="18" max="20" style="351" width="3.00390625" customWidth="1"/>
    <col min="21" max="21" style="2433"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15">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265" t="s">
        <v>395</v>
      </c>
      <c r="AS2" s="507"/>
      <c r="AT2" s="507" t="str">
        <f>IF(V2="","",V2)</f>
        <v>Наименование тарифа</v>
      </c>
      <c r="AU2" s="507"/>
      <c r="AV2" s="507"/>
      <c r="AW2" s="1162">
        <v>0</v>
      </c>
    </row>
    <row customHeight="1" ht="21" hidden="1">
      <c r="A3" s="1274"/>
      <c r="B3" s="1274"/>
      <c r="C3" s="1274"/>
      <c r="D3" s="1274"/>
      <c r="E3" s="2316"/>
      <c r="F3" s="2315">
        <v>1</v>
      </c>
      <c r="G3" s="1274"/>
      <c r="H3" s="1274"/>
      <c r="I3" s="1274"/>
      <c r="J3" s="1274"/>
      <c r="K3" s="1274"/>
      <c r="L3" s="1274"/>
      <c r="M3" s="1317"/>
      <c r="N3" s="695"/>
      <c r="O3" s="695"/>
      <c r="P3" s="695"/>
      <c r="Q3" s="1339"/>
      <c r="R3" s="359"/>
      <c r="S3" s="516"/>
      <c r="T3" s="360"/>
      <c r="U3" s="1343">
        <f>INDEX(PT_DIFFERENTIATION_NUM_TER,MATCH(B3,PT_DIFFERENTIATION_TER_ID,0))</f>
      </c>
      <c r="V3" s="315" t="s">
        <v>396</v>
      </c>
      <c r="W3" s="30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265" t="s">
        <v>397</v>
      </c>
      <c r="AS3" s="507"/>
      <c r="AT3" s="507" t="str">
        <f>IF(V3="","",V3)</f>
        <v>Территория действия тарифа</v>
      </c>
      <c r="AU3" s="507"/>
      <c r="AV3" s="507"/>
      <c r="AW3" s="1162">
        <v>0</v>
      </c>
    </row>
    <row customHeight="1" ht="22.5" hidden="1">
      <c r="A4" s="1274"/>
      <c r="B4" s="1274"/>
      <c r="C4" s="1274"/>
      <c r="D4" s="1274"/>
      <c r="E4" s="2316"/>
      <c r="F4" s="2316"/>
      <c r="G4" s="2315">
        <v>1</v>
      </c>
      <c r="H4" s="1274"/>
      <c r="I4" s="1274"/>
      <c r="J4" s="1274"/>
      <c r="K4" s="1274"/>
      <c r="L4" s="1274"/>
      <c r="M4" s="1317"/>
      <c r="N4" s="695"/>
      <c r="O4" s="695"/>
      <c r="P4" s="695"/>
      <c r="Q4" s="361"/>
      <c r="R4" s="359"/>
      <c r="S4" s="516"/>
      <c r="T4" s="360"/>
      <c r="U4" s="1343">
        <f>INDEX(PT_DIFFERENTIATION_NUM_CS,MATCH(C4,PT_DIFFERENTIATION_CS_ID,0))</f>
      </c>
      <c r="V4" s="316" t="s">
        <v>398</v>
      </c>
      <c r="W4" s="30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265" t="s">
        <v>399</v>
      </c>
      <c r="AS4" s="507"/>
      <c r="AT4" s="507" t="str">
        <f>IF(V4="","",V4)</f>
        <v>Наименование системы теплоснабжения </v>
      </c>
      <c r="AU4" s="507"/>
      <c r="AV4" s="507"/>
      <c r="AW4" s="1162">
        <v>0</v>
      </c>
    </row>
    <row customHeight="1" ht="21" hidden="1">
      <c r="A5" s="1274"/>
      <c r="B5" s="1274"/>
      <c r="C5" s="1274"/>
      <c r="D5" s="1274"/>
      <c r="E5" s="2316"/>
      <c r="F5" s="2316"/>
      <c r="G5" s="2316"/>
      <c r="H5" s="2315">
        <v>1</v>
      </c>
      <c r="I5" s="1274"/>
      <c r="J5" s="1274"/>
      <c r="K5" s="1274"/>
      <c r="L5" s="1274"/>
      <c r="M5" s="1317"/>
      <c r="N5" s="695"/>
      <c r="O5" s="695"/>
      <c r="P5" s="695"/>
      <c r="Q5" s="361"/>
      <c r="R5" s="359"/>
      <c r="S5" s="516"/>
      <c r="T5" s="360"/>
      <c r="U5" s="1343">
        <f>INDEX(PT_DIFFERENTIATION_NUM_IST_TE,MATCH(D5,PT_DIFFERENTIATION_IST_TE_ID,0))</f>
      </c>
      <c r="V5" s="317" t="s">
        <v>400</v>
      </c>
      <c r="W5" s="30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265" t="s">
        <v>401</v>
      </c>
      <c r="AS5" s="507"/>
      <c r="AT5" s="507" t="str">
        <f>IF(V5="","",V5)</f>
        <v>Источник тепловой энергии  </v>
      </c>
      <c r="AU5" s="507"/>
      <c r="AV5" s="507"/>
      <c r="AW5" s="1162">
        <v>0</v>
      </c>
    </row>
    <row customHeight="1" ht="14.25" hidden="1">
      <c r="A6" s="1274"/>
      <c r="B6" s="1274"/>
      <c r="C6" s="1274"/>
      <c r="D6" s="1274"/>
      <c r="E6" s="2316"/>
      <c r="F6" s="2316"/>
      <c r="G6" s="2316"/>
      <c r="H6" s="2316"/>
      <c r="I6" s="2153">
        <f>U5&amp;".1"</f>
      </c>
      <c r="J6" s="1274"/>
      <c r="K6" s="1274"/>
      <c r="L6" s="1274"/>
      <c r="M6" s="1317" t="s">
        <v>402</v>
      </c>
      <c r="N6" s="516"/>
      <c r="Q6" s="2283">
        <v>1</v>
      </c>
      <c r="R6" s="1338"/>
      <c r="S6" s="1338"/>
      <c r="T6" s="363"/>
      <c r="U6" s="1049"/>
      <c r="V6" s="1390"/>
      <c r="W6" s="1391"/>
      <c r="X6" s="2322"/>
      <c r="Y6" s="2323"/>
      <c r="Z6" s="2323"/>
      <c r="AA6" s="2323"/>
      <c r="AB6" s="2323"/>
      <c r="AC6" s="2323"/>
      <c r="AD6" s="2323"/>
      <c r="AE6" s="2323"/>
      <c r="AF6" s="2324"/>
      <c r="AG6" s="2322"/>
      <c r="AH6" s="2323"/>
      <c r="AI6" s="2323"/>
      <c r="AJ6" s="2323"/>
      <c r="AK6" s="2323"/>
      <c r="AL6" s="2323"/>
      <c r="AM6" s="2323"/>
      <c r="AN6" s="2323"/>
      <c r="AO6" s="2323"/>
      <c r="AP6" s="2324"/>
      <c r="AQ6" s="1392"/>
      <c r="AS6" s="507"/>
      <c r="AT6" s="507" t="str">
        <f>IF(V6="","",V6)</f>
        <v/>
      </c>
      <c r="AU6" s="507"/>
      <c r="AV6" s="507"/>
      <c r="AW6" s="1162">
        <v>0</v>
      </c>
    </row>
    <row customHeight="1" ht="21" hidden="1">
      <c r="A7" s="1274"/>
      <c r="B7" s="1274"/>
      <c r="C7" s="1274"/>
      <c r="D7" s="1274"/>
      <c r="E7" s="2316"/>
      <c r="F7" s="2316"/>
      <c r="G7" s="2316"/>
      <c r="H7" s="2316"/>
      <c r="I7" s="2127"/>
      <c r="J7" s="2153">
        <f>I6&amp;".1"</f>
      </c>
      <c r="K7" s="1274"/>
      <c r="L7" s="1274"/>
      <c r="M7" s="1317" t="s">
        <v>405</v>
      </c>
      <c r="N7" s="516"/>
      <c r="O7" s="334"/>
      <c r="Q7" s="2283"/>
      <c r="R7" s="2283">
        <v>1</v>
      </c>
      <c r="S7" s="525"/>
      <c r="T7" s="364"/>
      <c r="U7" s="1343">
        <f>$J7</f>
      </c>
      <c r="V7" s="293" t="s">
        <v>406</v>
      </c>
      <c r="W7" s="307"/>
      <c r="X7" s="2271"/>
      <c r="Y7" s="2272"/>
      <c r="Z7" s="2272"/>
      <c r="AA7" s="2272"/>
      <c r="AB7" s="2272"/>
      <c r="AC7" s="2261"/>
      <c r="AD7" s="2261"/>
      <c r="AE7" s="2261"/>
      <c r="AF7" s="2334"/>
      <c r="AG7" s="2271"/>
      <c r="AH7" s="2272"/>
      <c r="AI7" s="2272"/>
      <c r="AJ7" s="2272"/>
      <c r="AK7" s="2272"/>
      <c r="AL7" s="2272"/>
      <c r="AM7" s="2272"/>
      <c r="AN7" s="2272"/>
      <c r="AO7" s="2272"/>
      <c r="AP7" s="2273"/>
      <c r="AQ7" s="1265" t="s">
        <v>407</v>
      </c>
      <c r="AS7" s="507"/>
      <c r="AT7" s="507" t="str">
        <f>IF(V7="","",V7)</f>
        <v>Группа потребителей</v>
      </c>
      <c r="AU7" s="507"/>
      <c r="AV7" s="507"/>
      <c r="AW7" s="1162">
        <v>0</v>
      </c>
    </row>
    <row customHeight="1" ht="21" hidden="1">
      <c r="A8" s="1274"/>
      <c r="B8" s="1274"/>
      <c r="C8" s="1274"/>
      <c r="D8" s="1274"/>
      <c r="E8" s="2316"/>
      <c r="F8" s="2316"/>
      <c r="G8" s="2316"/>
      <c r="H8" s="2316"/>
      <c r="I8" s="2127"/>
      <c r="J8" s="2127"/>
      <c r="K8" s="2153">
        <f>J7&amp;".1"</f>
      </c>
      <c r="L8" s="146"/>
      <c r="M8" s="1317" t="s">
        <v>408</v>
      </c>
      <c r="N8" s="516"/>
      <c r="O8" s="334"/>
      <c r="P8" s="334"/>
      <c r="Q8" s="2283"/>
      <c r="R8" s="2283"/>
      <c r="S8" s="2283">
        <v>1</v>
      </c>
      <c r="T8" s="364"/>
      <c r="U8" s="1343">
        <f>$K8</f>
      </c>
      <c r="V8" s="1354"/>
      <c r="W8" s="307"/>
      <c r="X8" s="758"/>
      <c r="Y8" s="758"/>
      <c r="Z8" s="758"/>
      <c r="AA8" s="758"/>
      <c r="AB8" s="1412"/>
      <c r="AC8" s="2291"/>
      <c r="AD8" s="2133" t="s">
        <v>65</v>
      </c>
      <c r="AE8" s="2291"/>
      <c r="AF8" s="2133" t="s">
        <v>65</v>
      </c>
      <c r="AG8" s="1414"/>
      <c r="AH8" s="758"/>
      <c r="AI8" s="758"/>
      <c r="AJ8" s="758"/>
      <c r="AK8" s="1264"/>
      <c r="AL8" s="2291"/>
      <c r="AM8" s="2133" t="s">
        <v>65</v>
      </c>
      <c r="AN8" s="2291"/>
      <c r="AO8" s="2133" t="s">
        <v>65</v>
      </c>
      <c r="AP8" s="332"/>
      <c r="AQ8" s="1314" t="s">
        <v>447</v>
      </c>
      <c r="AR8" s="518">
        <f>STRCHECKDATE(X10:AP10)</f>
      </c>
      <c r="AS8" s="507"/>
      <c r="AT8" s="507" t="str">
        <f>IF(V8="","",V8)</f>
        <v/>
      </c>
      <c r="AU8" s="507"/>
      <c r="AV8" s="507"/>
      <c r="AW8" s="1162">
        <v>0</v>
      </c>
    </row>
    <row customHeight="1" ht="21" hidden="1">
      <c r="A9" s="1274"/>
      <c r="B9" s="1274"/>
      <c r="C9" s="1274"/>
      <c r="D9" s="1274"/>
      <c r="E9" s="2316"/>
      <c r="F9" s="2316"/>
      <c r="G9" s="2316"/>
      <c r="H9" s="2316"/>
      <c r="I9" s="2127"/>
      <c r="J9" s="2127"/>
      <c r="K9" s="2127"/>
      <c r="L9" s="2153">
        <f>K8&amp;".1"</f>
      </c>
      <c r="M9" s="1317"/>
      <c r="N9" s="516"/>
      <c r="O9" s="334"/>
      <c r="P9" s="334"/>
      <c r="Q9" s="2283"/>
      <c r="R9" s="2283"/>
      <c r="S9" s="2283"/>
      <c r="T9" s="364"/>
      <c r="U9" s="1343">
        <f>$L9</f>
      </c>
      <c r="V9" s="1398"/>
      <c r="W9" s="307"/>
      <c r="X9" s="332"/>
      <c r="Y9" s="758"/>
      <c r="Z9" s="758"/>
      <c r="AA9" s="758"/>
      <c r="AB9" s="1412"/>
      <c r="AC9" s="2335"/>
      <c r="AD9" s="2133"/>
      <c r="AE9" s="2335"/>
      <c r="AF9" s="2133"/>
      <c r="AG9" s="1414"/>
      <c r="AH9" s="758"/>
      <c r="AI9" s="758"/>
      <c r="AJ9" s="758"/>
      <c r="AK9" s="1264"/>
      <c r="AL9" s="2335"/>
      <c r="AM9" s="2133"/>
      <c r="AN9" s="2335"/>
      <c r="AO9" s="2133"/>
      <c r="AP9" s="332"/>
      <c r="AQ9" s="2279" t="s">
        <v>448</v>
      </c>
      <c r="AS9" s="507"/>
      <c r="AT9" s="507"/>
      <c r="AU9" s="507"/>
      <c r="AV9" s="507"/>
      <c r="AW9" s="1162">
        <v>0</v>
      </c>
    </row>
    <row customHeight="1" ht="14.25" hidden="1">
      <c r="A10" s="1274"/>
      <c r="B10" s="1274"/>
      <c r="C10" s="1274"/>
      <c r="D10" s="1274"/>
      <c r="E10" s="2316"/>
      <c r="F10" s="2316"/>
      <c r="G10" s="2316"/>
      <c r="H10" s="2316"/>
      <c r="I10" s="2127"/>
      <c r="J10" s="2127"/>
      <c r="K10" s="2127"/>
      <c r="L10" s="2153"/>
      <c r="M10" s="1317"/>
      <c r="N10" s="516"/>
      <c r="O10" s="334"/>
      <c r="P10" s="334"/>
      <c r="Q10" s="2283"/>
      <c r="R10" s="2283"/>
      <c r="S10" s="2283"/>
      <c r="T10" s="364"/>
      <c r="U10" s="1349"/>
      <c r="V10" s="307"/>
      <c r="W10" s="307"/>
      <c r="X10" s="332"/>
      <c r="Y10" s="332"/>
      <c r="Z10" s="332"/>
      <c r="AA10" s="332"/>
      <c r="AB10" s="1413" t="str">
        <f>AC8&amp;"-"&amp;AE8</f>
        <v>-</v>
      </c>
      <c r="AC10" s="2335"/>
      <c r="AD10" s="2133"/>
      <c r="AE10" s="2335"/>
      <c r="AF10" s="2133"/>
      <c r="AG10" s="1389"/>
      <c r="AH10" s="332"/>
      <c r="AI10" s="332"/>
      <c r="AJ10" s="332"/>
      <c r="AK10" s="335" t="str">
        <f>AL8&amp;"-"&amp;AN8</f>
        <v>-</v>
      </c>
      <c r="AL10" s="2335"/>
      <c r="AM10" s="2133"/>
      <c r="AN10" s="2335"/>
      <c r="AO10" s="2133"/>
      <c r="AP10" s="332"/>
      <c r="AQ10" s="2280"/>
      <c r="AS10" s="507"/>
      <c r="AT10" s="507" t="str">
        <f>IF(V10="","",V10)</f>
        <v/>
      </c>
      <c r="AU10" s="507"/>
      <c r="AV10" s="507"/>
      <c r="AW10" s="1162">
        <v>0</v>
      </c>
    </row>
    <row customHeight="1" ht="11.25" hidden="1">
      <c r="A11" s="1274"/>
      <c r="B11" s="1274"/>
      <c r="C11" s="1274"/>
      <c r="D11" s="1274"/>
      <c r="E11" s="2316"/>
      <c r="F11" s="2316"/>
      <c r="G11" s="2316"/>
      <c r="H11" s="2316"/>
      <c r="I11" s="2127"/>
      <c r="J11" s="2127"/>
      <c r="K11" s="2153"/>
      <c r="L11" s="1274"/>
      <c r="M11" s="1317"/>
      <c r="N11" s="516"/>
      <c r="O11" s="334"/>
      <c r="P11" s="334"/>
      <c r="Q11" s="2283"/>
      <c r="R11" s="2283"/>
      <c r="S11" s="2283"/>
      <c r="T11" s="364"/>
      <c r="U11" s="1285"/>
      <c r="V11" s="295" t="s">
        <v>449</v>
      </c>
      <c r="W11" s="1399"/>
      <c r="X11" s="1400"/>
      <c r="Y11" s="1400"/>
      <c r="Z11" s="1400"/>
      <c r="AA11" s="1400"/>
      <c r="AB11" s="1401"/>
      <c r="AC11" s="2335"/>
      <c r="AD11" s="2133"/>
      <c r="AE11" s="2335"/>
      <c r="AF11" s="2133"/>
      <c r="AG11" s="1400"/>
      <c r="AH11" s="1400"/>
      <c r="AI11" s="1400"/>
      <c r="AJ11" s="1400"/>
      <c r="AK11" s="1401"/>
      <c r="AL11" s="2335"/>
      <c r="AM11" s="2133"/>
      <c r="AN11" s="2335"/>
      <c r="AO11" s="2133"/>
      <c r="AP11" s="1402"/>
      <c r="AQ11" s="2280"/>
      <c r="AS11" s="507"/>
      <c r="AT11" s="507"/>
      <c r="AU11" s="507"/>
      <c r="AV11" s="507"/>
      <c r="AW11" s="1162">
        <v>0</v>
      </c>
    </row>
    <row customHeight="1" ht="15" hidden="1">
      <c r="A12" s="1274"/>
      <c r="B12" s="1274"/>
      <c r="C12" s="1274"/>
      <c r="D12" s="1274"/>
      <c r="E12" s="2316"/>
      <c r="F12" s="2316"/>
      <c r="G12" s="2316"/>
      <c r="H12" s="2316"/>
      <c r="I12" s="2127"/>
      <c r="J12" s="2153"/>
      <c r="K12" s="1274"/>
      <c r="L12" s="1274"/>
      <c r="M12" s="1317"/>
      <c r="N12" s="516"/>
      <c r="O12" s="334"/>
      <c r="Q12" s="2283"/>
      <c r="R12" s="2283"/>
      <c r="S12" s="1338"/>
      <c r="T12" s="363"/>
      <c r="U12" s="1285"/>
      <c r="V12" s="294" t="s">
        <v>410</v>
      </c>
      <c r="W12" s="374"/>
      <c r="X12" s="374"/>
      <c r="Y12" s="374"/>
      <c r="Z12" s="374"/>
      <c r="AA12" s="374"/>
      <c r="AB12" s="374"/>
      <c r="AC12" s="1415"/>
      <c r="AD12" s="1415"/>
      <c r="AE12" s="1415"/>
      <c r="AF12" s="1415"/>
      <c r="AG12" s="374"/>
      <c r="AH12" s="374"/>
      <c r="AI12" s="374"/>
      <c r="AJ12" s="374"/>
      <c r="AK12" s="374"/>
      <c r="AL12" s="374"/>
      <c r="AM12" s="374"/>
      <c r="AN12" s="374"/>
      <c r="AO12" s="374"/>
      <c r="AP12" s="331"/>
      <c r="AQ12" s="2281"/>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6"/>
      <c r="F13" s="2316"/>
      <c r="G13" s="2316"/>
      <c r="H13" s="2316"/>
      <c r="I13" s="2153"/>
      <c r="J13" s="1274"/>
      <c r="K13" s="1274"/>
      <c r="L13" s="1274"/>
      <c r="M13" s="1317"/>
      <c r="N13" s="516"/>
      <c r="Q13" s="2283"/>
      <c r="R13" s="1338"/>
      <c r="S13" s="1338"/>
      <c r="T13" s="363"/>
      <c r="U13" s="1285"/>
      <c r="V13" s="372" t="s">
        <v>411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6"/>
      <c r="F14" s="2316"/>
      <c r="G14" s="2316"/>
      <c r="H14" s="2315"/>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6"/>
      <c r="F15" s="2316"/>
      <c r="G15" s="2315"/>
      <c r="H15" s="1381"/>
      <c r="I15" s="1381"/>
      <c r="J15" s="1381"/>
      <c r="K15" s="1381"/>
      <c r="L15" s="1381"/>
      <c r="M15" s="1384"/>
      <c r="N15" s="1385"/>
      <c r="O15" s="1385"/>
      <c r="P15" s="358"/>
      <c r="Q15" s="1323"/>
      <c r="R15" s="1324"/>
      <c r="S15" s="1323"/>
      <c r="T15" s="1323"/>
      <c r="U15" s="1325"/>
      <c r="V15" s="1326" t="s">
        <v>413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6"/>
      <c r="F16" s="2315"/>
      <c r="G16" s="1381"/>
      <c r="H16" s="1381"/>
      <c r="I16" s="1381"/>
      <c r="J16" s="1381"/>
      <c r="K16" s="1381"/>
      <c r="L16" s="1381"/>
      <c r="M16" s="1384"/>
      <c r="N16" s="1386"/>
      <c r="O16" s="1386"/>
      <c r="P16" s="358"/>
      <c r="Q16" s="1323"/>
      <c r="R16" s="1324"/>
      <c r="S16" s="1323"/>
      <c r="T16" s="1323"/>
      <c r="U16" s="1329"/>
      <c r="V16" s="1330" t="s">
        <v>414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15"/>
      <c r="F17" s="1381"/>
      <c r="G17" s="1381"/>
      <c r="H17" s="1381"/>
      <c r="I17" s="1381"/>
      <c r="J17" s="1381"/>
      <c r="K17" s="1381"/>
      <c r="L17" s="1381"/>
      <c r="M17" s="1384"/>
      <c r="N17" s="1386"/>
      <c r="O17" s="1386"/>
      <c r="P17" s="358"/>
      <c r="Q17" s="1323"/>
      <c r="R17" s="1324"/>
      <c r="S17" s="1323"/>
      <c r="T17" s="1323"/>
      <c r="U17" s="1329"/>
      <c r="V17" s="1332" t="s">
        <v>415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93"/>
      <c r="AM19" s="2294" t="s">
        <v>65</v>
      </c>
      <c r="AN19" s="2293"/>
      <c r="AO19" s="2294" t="s">
        <v>65</v>
      </c>
      <c r="AW19" s="1162">
        <v>0</v>
      </c>
    </row>
    <row customHeight="1" ht="14.25" hidden="1">
      <c r="AG20" s="1367"/>
      <c r="AH20" s="1367"/>
      <c r="AI20" s="1367"/>
      <c r="AJ20" s="1367"/>
      <c r="AK20" s="1368"/>
      <c r="AL20" s="2293"/>
      <c r="AM20" s="2294"/>
      <c r="AN20" s="2293"/>
      <c r="AO20" s="2294"/>
      <c r="AW20" s="1162">
        <v>0</v>
      </c>
    </row>
    <row customHeight="1" ht="14.25" hidden="1">
      <c r="AG21" s="1367"/>
      <c r="AH21" s="1367"/>
      <c r="AI21" s="1367"/>
      <c r="AJ21" s="1367"/>
      <c r="AK21" s="1368"/>
      <c r="AL21" s="2293"/>
      <c r="AM21" s="2294"/>
      <c r="AN21" s="2293"/>
      <c r="AO21" s="2294"/>
      <c r="AW21" s="1162">
        <v>0</v>
      </c>
    </row>
    <row customHeight="1" ht="14.25" hidden="1">
      <c r="AG22" s="1367"/>
      <c r="AH22" s="1367"/>
      <c r="AI22" s="1367"/>
      <c r="AJ22" s="1367"/>
      <c r="AK22" s="335" t="str">
        <f>AL19&amp;"-"&amp;AN19</f>
        <v>-</v>
      </c>
      <c r="AL22" s="2294"/>
      <c r="AM22" s="2294"/>
      <c r="AN22" s="2294"/>
      <c r="AO22" s="2294"/>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417</v>
      </c>
      <c r="Q26" s="1369"/>
      <c r="R26" s="1378"/>
      <c r="S26" s="1378"/>
      <c r="T26" s="1378"/>
      <c r="U26" s="736"/>
      <c r="V26" s="1167" t="s">
        <v>418</v>
      </c>
      <c r="AD26" s="193" t="s">
        <v>419</v>
      </c>
      <c r="AF26" s="193" t="s">
        <v>420</v>
      </c>
      <c r="AG26" s="1167" t="s">
        <v>418</v>
      </c>
      <c r="AM26" s="193" t="s">
        <v>421</v>
      </c>
      <c r="AO26" s="193" t="s">
        <v>420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250"/>
      <c r="AW30" s="1162">
        <v>54</v>
      </c>
    </row>
    <row customHeight="1" ht="14.699999999999998">
      <c r="R31" s="383"/>
      <c r="S31" s="383"/>
      <c r="T31" s="383"/>
      <c r="U31" s="2275" t="str">
        <f>IF(org=0,"Не определено",org)</f>
        <v>Общество с ограниченной ответственностью "Сигнал", г. Серов</v>
      </c>
      <c r="V31" s="2275"/>
      <c r="W31" s="2275"/>
      <c r="X31" s="2275"/>
      <c r="Y31" s="2275"/>
      <c r="Z31" s="2275"/>
      <c r="AA31" s="2275"/>
      <c r="AB31" s="2275"/>
      <c r="AC31" s="2275"/>
      <c r="AD31" s="2275"/>
      <c r="AE31" s="2275"/>
      <c r="AF31" s="2275"/>
      <c r="AG31" s="2275"/>
      <c r="AH31" s="2275"/>
      <c r="AI31" s="2275"/>
      <c r="AJ31" s="2275"/>
      <c r="AK31" s="2275"/>
      <c r="AL31" s="2275"/>
      <c r="AM31" s="2275"/>
      <c r="AN31" s="2275"/>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6"/>
      <c r="W33" s="1379"/>
      <c r="X33" s="2277" t="str">
        <f>IF(TITLE_NAME_OR_PR_CHANGE="",IF(TITLE_NAME_OR_PR="","",TITLE_NAME_OR_PR),TITLE_NAME_OR_PR_CHANGE)</f>
        <v/>
      </c>
      <c r="Y33" s="2277"/>
      <c r="Z33" s="2277"/>
      <c r="AA33" s="2277"/>
      <c r="AB33" s="2277"/>
      <c r="AC33" s="2277"/>
      <c r="AD33" s="2277"/>
      <c r="AE33" s="2277"/>
      <c r="AF33" s="333"/>
      <c r="AG33" s="2277" t="str">
        <f>IF(TITLE_NAME_OR_PR_CHANGE="",IF(TITLE_NAME_OR_PR="","",TITLE_NAME_OR_PR),TITLE_NAME_OR_PR_CHANGE)</f>
        <v/>
      </c>
      <c r="AH33" s="2277"/>
      <c r="AI33" s="2277"/>
      <c r="AJ33" s="2277"/>
      <c r="AK33" s="2277"/>
      <c r="AL33" s="2277"/>
      <c r="AM33" s="2277"/>
      <c r="AN33" s="2277"/>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6" t="str">
        <f>"Дата документа об "&amp;IF(TITLE_DATE_PR_CHANGE="","утверждении","изменении")&amp;" тарифов"</f>
        <v>Дата документа об утверждении тарифов</v>
      </c>
      <c r="V34" s="2276"/>
      <c r="W34" s="1379"/>
      <c r="X34" s="2290" t="str">
        <f>IF(TITLE_DATE_PR_CHANGE="",IF(TITLE_DATE_PR="","",TITLE_DATE_PR),TITLE_DATE_PR_CHANGE)</f>
        <v/>
      </c>
      <c r="Y34" s="2290"/>
      <c r="Z34" s="2290"/>
      <c r="AA34" s="2290"/>
      <c r="AB34" s="2290"/>
      <c r="AC34" s="2290"/>
      <c r="AD34" s="2290"/>
      <c r="AE34" s="2290"/>
      <c r="AF34" s="333"/>
      <c r="AG34" s="2290" t="str">
        <f>IF(TITLE_DATE_PR_CHANGE="",IF(TITLE_DATE_PR="","",TITLE_DATE_PR),TITLE_DATE_PR_CHANGE)</f>
        <v/>
      </c>
      <c r="AH34" s="2290"/>
      <c r="AI34" s="2290"/>
      <c r="AJ34" s="2290"/>
      <c r="AK34" s="2290"/>
      <c r="AL34" s="2290"/>
      <c r="AM34" s="2290"/>
      <c r="AN34" s="2290"/>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6" t="str">
        <f>"Номер документа об "&amp;IF(TITLE_DATE_PR_CHANGE="","утверждении","изменении")&amp;" тарифов"</f>
        <v>Номер документа об утверждении тарифов</v>
      </c>
      <c r="V35" s="2276"/>
      <c r="W35" s="1379"/>
      <c r="X35" s="2277" t="str">
        <f>IF(TITLE_NUMBER_PR_CHANGE="",IF(TITLE_NUMBER_PR="","",TITLE_NUMBER_PR),TITLE_NUMBER_PR_CHANGE)</f>
        <v/>
      </c>
      <c r="Y35" s="2277"/>
      <c r="Z35" s="2277"/>
      <c r="AA35" s="2277"/>
      <c r="AB35" s="2277"/>
      <c r="AC35" s="2277"/>
      <c r="AD35" s="2277"/>
      <c r="AE35" s="2277"/>
      <c r="AF35" s="333"/>
      <c r="AG35" s="2277" t="str">
        <f>IF(TITLE_NUMBER_PR_CHANGE="",IF(TITLE_NUMBER_PR="","",TITLE_NUMBER_PR),TITLE_NUMBER_PR_CHANGE)</f>
        <v/>
      </c>
      <c r="AH35" s="2277"/>
      <c r="AI35" s="2277"/>
      <c r="AJ35" s="2277"/>
      <c r="AK35" s="2277"/>
      <c r="AL35" s="2277"/>
      <c r="AM35" s="2277"/>
      <c r="AN35" s="2277"/>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6" t="s">
        <v>43</v>
      </c>
      <c r="V36" s="2276"/>
      <c r="W36" s="1379"/>
      <c r="X36" s="2277" t="str">
        <f>IF(TITLE_IST_PUB_CHANGE="",IF(TITLE_IST_PUB="","",TITLE_IST_PUB),TITLE_IST_PUB_CHANGE)</f>
        <v/>
      </c>
      <c r="Y36" s="2277"/>
      <c r="Z36" s="2277"/>
      <c r="AA36" s="2277"/>
      <c r="AB36" s="2277"/>
      <c r="AC36" s="2277"/>
      <c r="AD36" s="2277"/>
      <c r="AE36" s="2277"/>
      <c r="AF36" s="333"/>
      <c r="AG36" s="2277" t="str">
        <f>IF(TITLE_IST_PUB_CHANGE="",IF(TITLE_IST_PUB="","",TITLE_IST_PUB),TITLE_IST_PUB_CHANGE)</f>
        <v/>
      </c>
      <c r="AH36" s="2277"/>
      <c r="AI36" s="2277"/>
      <c r="AJ36" s="2277"/>
      <c r="AK36" s="2277"/>
      <c r="AL36" s="2277"/>
      <c r="AM36" s="2277"/>
      <c r="AN36" s="2277"/>
      <c r="AO36" s="333"/>
      <c r="AP36" s="333"/>
      <c r="AQ36" s="287"/>
      <c r="AR36" s="375"/>
      <c r="AS36" s="375"/>
      <c r="AT36" s="375"/>
      <c r="AU36" s="375"/>
      <c r="AV36" s="375"/>
      <c r="AW36" s="425">
        <v>0</v>
      </c>
    </row>
    <row customHeight="1" ht="14.25" hidden="1">
      <c r="R37" s="383"/>
      <c r="S37" s="383"/>
      <c r="T37" s="383"/>
      <c r="U37" s="1282"/>
      <c r="V37" s="464"/>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6" t="str">
        <f>"Дата подачи заявления об "&amp;IF(TITLE_DATE_PR_CHANGE="","утверждении","изменении")&amp;" тарифов"</f>
        <v>Дата подачи заявления об утверждении тарифов</v>
      </c>
      <c r="V38" s="2276"/>
      <c r="W38" s="1379"/>
      <c r="X38" s="2290" t="str">
        <f>IF(TITLE_DATE_PR_CHANGE="",IF(TITLE_DATE_PR="","",TITLE_DATE_PR),TITLE_DATE_PR_CHANGE)</f>
        <v/>
      </c>
      <c r="Y38" s="2290"/>
      <c r="Z38" s="2290"/>
      <c r="AA38" s="2290"/>
      <c r="AB38" s="2290"/>
      <c r="AC38" s="2290"/>
      <c r="AD38" s="2290"/>
      <c r="AE38" s="2290"/>
      <c r="AF38" s="333"/>
      <c r="AG38" s="2290" t="str">
        <f>IF(TITLE_DATE_PR_CHANGE="",IF(TITLE_DATE_PR="","",TITLE_DATE_PR),TITLE_DATE_PR_CHANGE)</f>
        <v/>
      </c>
      <c r="AH38" s="2290"/>
      <c r="AI38" s="2290"/>
      <c r="AJ38" s="2290"/>
      <c r="AK38" s="2290"/>
      <c r="AL38" s="2290"/>
      <c r="AM38" s="2290"/>
      <c r="AN38" s="2290"/>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6" t="str">
        <f>"Номер подачи заявления об "&amp;IF(TITLE_DATE_PR_CHANGE="","утверждении","изменении")&amp;" тарифов"</f>
        <v>Номер подачи заявления об утверждении тарифов</v>
      </c>
      <c r="V39" s="2276"/>
      <c r="W39" s="1379"/>
      <c r="X39" s="2277" t="str">
        <f>IF(TITLE_NUMBER_PR_CHANGE="",IF(TITLE_NUMBER_PR="","",TITLE_NUMBER_PR),TITLE_NUMBER_PR_CHANGE)</f>
        <v/>
      </c>
      <c r="Y39" s="2277"/>
      <c r="Z39" s="2277"/>
      <c r="AA39" s="2277"/>
      <c r="AB39" s="2277"/>
      <c r="AC39" s="2277"/>
      <c r="AD39" s="2277"/>
      <c r="AE39" s="2277"/>
      <c r="AF39" s="333"/>
      <c r="AG39" s="2277" t="str">
        <f>IF(TITLE_NUMBER_PR_CHANGE="",IF(TITLE_NUMBER_PR="","",TITLE_NUMBER_PR),TITLE_NUMBER_PR_CHANGE)</f>
        <v/>
      </c>
      <c r="AH39" s="2277"/>
      <c r="AI39" s="2277"/>
      <c r="AJ39" s="2277"/>
      <c r="AK39" s="2277"/>
      <c r="AL39" s="2277"/>
      <c r="AM39" s="2277"/>
      <c r="AN39" s="2277"/>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422</v>
      </c>
      <c r="AG40" s="333"/>
      <c r="AH40" s="333"/>
      <c r="AI40" s="333"/>
      <c r="AJ40" s="333"/>
      <c r="AK40" s="333"/>
      <c r="AL40" s="333"/>
      <c r="AM40" s="333"/>
      <c r="AN40" s="333"/>
      <c r="AO40" s="285" t="s">
        <v>422</v>
      </c>
      <c r="AR40" s="375"/>
      <c r="AS40" s="375"/>
      <c r="AT40" s="375"/>
      <c r="AU40" s="375"/>
      <c r="AV40" s="375"/>
      <c r="AW40" s="425">
        <v>0</v>
      </c>
    </row>
    <row customHeight="1" ht="14.699999999999998">
      <c r="R41" s="383"/>
      <c r="S41" s="383"/>
      <c r="T41" s="383"/>
      <c r="U41" s="1282"/>
      <c r="V41" s="370"/>
      <c r="W41" s="1251"/>
      <c r="X41" s="2278"/>
      <c r="Y41" s="2278"/>
      <c r="Z41" s="2278"/>
      <c r="AA41" s="2278"/>
      <c r="AB41" s="2278"/>
      <c r="AC41" s="2278"/>
      <c r="AD41" s="2278"/>
      <c r="AE41" s="2278"/>
      <c r="AF41" s="2278"/>
      <c r="AG41" s="2278"/>
      <c r="AH41" s="2278"/>
      <c r="AI41" s="2278"/>
      <c r="AJ41" s="2278"/>
      <c r="AK41" s="2278"/>
      <c r="AL41" s="2278"/>
      <c r="AM41" s="2278"/>
      <c r="AN41" s="2278"/>
      <c r="AO41" s="2278"/>
      <c r="AW41" s="1162">
        <v>14</v>
      </c>
    </row>
    <row customHeight="1" ht="14.699999999999998">
      <c r="R42" s="383"/>
      <c r="S42" s="383"/>
      <c r="T42" s="383"/>
      <c r="U42" s="2153" t="s">
        <v>299</v>
      </c>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t="s">
        <v>300</v>
      </c>
      <c r="AW42" s="1162">
        <v>14</v>
      </c>
    </row>
    <row customHeight="1" ht="14.699999999999998">
      <c r="R43" s="383"/>
      <c r="S43" s="383"/>
      <c r="T43" s="383"/>
      <c r="U43" s="2299" t="s">
        <v>88</v>
      </c>
      <c r="V43" s="2235" t="s">
        <v>423</v>
      </c>
      <c r="W43" s="308"/>
      <c r="X43" s="2300" t="s">
        <v>424</v>
      </c>
      <c r="Y43" s="2317"/>
      <c r="Z43" s="2317"/>
      <c r="AA43" s="2317"/>
      <c r="AB43" s="2317"/>
      <c r="AC43" s="2301"/>
      <c r="AD43" s="2301"/>
      <c r="AE43" s="2302"/>
      <c r="AF43" s="2303" t="s">
        <v>425</v>
      </c>
      <c r="AG43" s="2300" t="s">
        <v>424</v>
      </c>
      <c r="AH43" s="2317"/>
      <c r="AI43" s="2317"/>
      <c r="AJ43" s="2317"/>
      <c r="AK43" s="2317"/>
      <c r="AL43" s="2301"/>
      <c r="AM43" s="2301"/>
      <c r="AN43" s="2302"/>
      <c r="AO43" s="2303" t="s">
        <v>426</v>
      </c>
      <c r="AP43" s="2306" t="s">
        <v>427</v>
      </c>
      <c r="AQ43" s="2153"/>
      <c r="AW43" s="1162">
        <v>14</v>
      </c>
    </row>
    <row customHeight="1" ht="35.699999999999996">
      <c r="R44" s="383"/>
      <c r="S44" s="383"/>
      <c r="T44" s="383"/>
      <c r="U44" s="2299"/>
      <c r="V44" s="2235"/>
      <c r="W44" s="1038"/>
      <c r="X44" s="2320" t="s">
        <v>450</v>
      </c>
      <c r="Y44" s="2338" t="s">
        <v>451</v>
      </c>
      <c r="Z44" s="2338"/>
      <c r="AA44" s="2338"/>
      <c r="AB44" s="2338"/>
      <c r="AC44" s="2320" t="s">
        <v>431</v>
      </c>
      <c r="AD44" s="2641"/>
      <c r="AE44" s="2340"/>
      <c r="AF44" s="2304"/>
      <c r="AG44" s="2320" t="s">
        <v>450</v>
      </c>
      <c r="AH44" s="2338" t="s">
        <v>451</v>
      </c>
      <c r="AI44" s="2338"/>
      <c r="AJ44" s="2338"/>
      <c r="AK44" s="2338"/>
      <c r="AL44" s="2320" t="s">
        <v>431</v>
      </c>
      <c r="AM44" s="2641"/>
      <c r="AN44" s="2340"/>
      <c r="AO44" s="2304"/>
      <c r="AP44" s="2307"/>
      <c r="AQ44" s="2153"/>
      <c r="AW44" s="1162">
        <v>34</v>
      </c>
    </row>
    <row customHeight="1" ht="14.699999999999998">
      <c r="R45" s="383"/>
      <c r="S45" s="383"/>
      <c r="T45" s="383"/>
      <c r="U45" s="2299"/>
      <c r="V45" s="2235"/>
      <c r="W45" s="1038"/>
      <c r="X45" s="2351"/>
      <c r="Y45" s="2343" t="s">
        <v>452</v>
      </c>
      <c r="Z45" s="2296" t="s">
        <v>453</v>
      </c>
      <c r="AA45" s="2346"/>
      <c r="AB45" s="2297"/>
      <c r="AC45" s="2321"/>
      <c r="AD45" s="2642"/>
      <c r="AE45" s="2342"/>
      <c r="AF45" s="2304"/>
      <c r="AG45" s="2351"/>
      <c r="AH45" s="2343" t="s">
        <v>452</v>
      </c>
      <c r="AI45" s="2296" t="s">
        <v>453</v>
      </c>
      <c r="AJ45" s="2346"/>
      <c r="AK45" s="2297"/>
      <c r="AL45" s="2321"/>
      <c r="AM45" s="2642"/>
      <c r="AN45" s="2342"/>
      <c r="AO45" s="2304"/>
      <c r="AP45" s="2307"/>
      <c r="AQ45" s="2153"/>
      <c r="AW45" s="1162">
        <v>14</v>
      </c>
    </row>
    <row customHeight="1" ht="27.299999999999997">
      <c r="R46" s="383"/>
      <c r="S46" s="383"/>
      <c r="T46" s="383"/>
      <c r="U46" s="2299"/>
      <c r="V46" s="2235"/>
      <c r="W46" s="1038"/>
      <c r="X46" s="2351"/>
      <c r="Y46" s="2344"/>
      <c r="Z46" s="2343" t="s">
        <v>454</v>
      </c>
      <c r="AA46" s="2296" t="s">
        <v>455</v>
      </c>
      <c r="AB46" s="2297"/>
      <c r="AC46" s="2343" t="s">
        <v>441</v>
      </c>
      <c r="AD46" s="2347" t="s">
        <v>442</v>
      </c>
      <c r="AE46" s="2348"/>
      <c r="AF46" s="2304"/>
      <c r="AG46" s="2351"/>
      <c r="AH46" s="2344"/>
      <c r="AI46" s="2343" t="s">
        <v>454</v>
      </c>
      <c r="AJ46" s="2296" t="s">
        <v>455</v>
      </c>
      <c r="AK46" s="2297"/>
      <c r="AL46" s="2343" t="s">
        <v>441</v>
      </c>
      <c r="AM46" s="2347" t="s">
        <v>442</v>
      </c>
      <c r="AN46" s="2348"/>
      <c r="AO46" s="2304"/>
      <c r="AP46" s="2307"/>
      <c r="AQ46" s="2153"/>
      <c r="AW46" s="1162">
        <v>26</v>
      </c>
    </row>
    <row customHeight="1" ht="65.25">
      <c r="A47" s="1266"/>
      <c r="B47" s="1266" t="s">
        <v>136</v>
      </c>
      <c r="C47" s="1266" t="s">
        <v>137</v>
      </c>
      <c r="D47" s="1266" t="s">
        <v>138</v>
      </c>
      <c r="E47" s="1317" t="s">
        <v>432</v>
      </c>
      <c r="F47" s="1317" t="s">
        <v>433</v>
      </c>
      <c r="G47" s="1317" t="s">
        <v>434</v>
      </c>
      <c r="H47" s="1317" t="s">
        <v>435</v>
      </c>
      <c r="I47" s="1317" t="s">
        <v>436</v>
      </c>
      <c r="J47" s="1317" t="s">
        <v>437</v>
      </c>
      <c r="K47" s="1317" t="s">
        <v>438</v>
      </c>
      <c r="L47" s="1317" t="s">
        <v>456</v>
      </c>
      <c r="M47" s="1317" t="s">
        <v>417</v>
      </c>
      <c r="R47" s="383"/>
      <c r="S47" s="383"/>
      <c r="T47" s="383"/>
      <c r="U47" s="2299"/>
      <c r="V47" s="2235"/>
      <c r="W47" s="309"/>
      <c r="X47" s="2321"/>
      <c r="Y47" s="2345"/>
      <c r="Z47" s="2345"/>
      <c r="AA47" s="1229" t="s">
        <v>457</v>
      </c>
      <c r="AB47" s="1229" t="s">
        <v>458</v>
      </c>
      <c r="AC47" s="2345"/>
      <c r="AD47" s="2349"/>
      <c r="AE47" s="2350"/>
      <c r="AF47" s="2305"/>
      <c r="AG47" s="2321"/>
      <c r="AH47" s="2345"/>
      <c r="AI47" s="2345"/>
      <c r="AJ47" s="1229" t="s">
        <v>457</v>
      </c>
      <c r="AK47" s="1229" t="s">
        <v>458</v>
      </c>
      <c r="AL47" s="2345"/>
      <c r="AM47" s="2349"/>
      <c r="AN47" s="2350"/>
      <c r="AO47" s="2305"/>
      <c r="AP47" s="2308"/>
      <c r="AQ47" s="2153"/>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98">
        <f>OFFSET(AD48,0,-1)+1</f>
        <v>4</v>
      </c>
      <c r="AE48" s="2298"/>
      <c r="AF48" s="1342">
        <f>OFFSET(AF48,0,-2)+1</f>
        <v>5</v>
      </c>
      <c r="AG48" s="1342">
        <f>OFFSET(AG48,0,-1)+1</f>
        <v>6</v>
      </c>
      <c r="AH48" s="1342"/>
      <c r="AI48" s="1342"/>
      <c r="AJ48" s="1342">
        <f>OFFSET(AJ48,0,-1)+1</f>
        <v>1</v>
      </c>
      <c r="AK48" s="1342">
        <f>OFFSET(AK48,0,-1)+1</f>
        <v>2</v>
      </c>
      <c r="AL48" s="1342">
        <f>OFFSET(AL48,0,-1)+1</f>
        <v>3</v>
      </c>
      <c r="AM48" s="2298">
        <f>OFFSET(AM48,0,-1)+1</f>
        <v>4</v>
      </c>
      <c r="AN48" s="2298"/>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315">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175</v>
      </c>
      <c r="B50" s="1274" t="s">
        <v>176</v>
      </c>
      <c r="C50" s="1274"/>
      <c r="D50" s="1274"/>
      <c r="E50" s="2316"/>
      <c r="F50" s="2315">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396</v>
      </c>
      <c r="W50" s="30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265" t="s">
        <v>397</v>
      </c>
      <c r="AS50" s="507"/>
      <c r="AT50" s="507" t="str">
        <f>IF(V50="","",V50)</f>
        <v>Территория действия тарифа</v>
      </c>
      <c r="AU50" s="507"/>
      <c r="AV50" s="507"/>
      <c r="AW50" s="1162">
        <v>21</v>
      </c>
    </row>
    <row customHeight="1" ht="24">
      <c r="A51" s="1274" t="s">
        <v>175</v>
      </c>
      <c r="B51" s="1274" t="s">
        <v>176</v>
      </c>
      <c r="C51" s="1274" t="s">
        <v>177</v>
      </c>
      <c r="D51" s="1274"/>
      <c r="E51" s="2316"/>
      <c r="F51" s="2316"/>
      <c r="G51" s="2315">
        <v>1</v>
      </c>
      <c r="H51" s="1274"/>
      <c r="I51" s="1274"/>
      <c r="J51" s="1274"/>
      <c r="K51" s="1274"/>
      <c r="L51" s="1274"/>
      <c r="M51" s="1317"/>
      <c r="N51" s="695"/>
      <c r="O51" s="695"/>
      <c r="P51" s="695"/>
      <c r="Q51" s="361"/>
      <c r="R51" s="359"/>
      <c r="S51" s="516"/>
      <c r="T51" s="360"/>
      <c r="U51" s="1343" t="str">
        <f>INDEX(PT_DIFFERENTIATION_NUM_CS,MATCH(C51,PT_DIFFERENTIATION_CS_ID,0))</f>
        <v>..</v>
      </c>
      <c r="V51" s="316" t="s">
        <v>398</v>
      </c>
      <c r="W51" s="30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265" t="s">
        <v>399</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316"/>
      <c r="F52" s="2316"/>
      <c r="G52" s="2316"/>
      <c r="H52" s="2336">
        <v>1</v>
      </c>
      <c r="I52" s="1274"/>
      <c r="J52" s="1274"/>
      <c r="K52" s="1274"/>
      <c r="L52" s="1274"/>
      <c r="M52" s="1317"/>
      <c r="N52" s="695"/>
      <c r="O52" s="695"/>
      <c r="P52" s="695"/>
      <c r="Q52" s="361"/>
      <c r="R52" s="359"/>
      <c r="S52" s="516"/>
      <c r="T52" s="360"/>
      <c r="U52" s="1343" t="str">
        <f>INDEX(PT_DIFFERENTIATION_NUM_IST_TE,MATCH(D52,PT_DIFFERENTIATION_IST_TE_ID,0))</f>
        <v>...</v>
      </c>
      <c r="V52" s="317" t="s">
        <v>400</v>
      </c>
      <c r="W52" s="30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265" t="s">
        <v>401</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316"/>
      <c r="F53" s="2316"/>
      <c r="G53" s="2316"/>
      <c r="H53" s="2337"/>
      <c r="I53" s="2153" t="str">
        <f>U52&amp;".1"</f>
        <v>....1</v>
      </c>
      <c r="J53" s="1382"/>
      <c r="K53" s="1382"/>
      <c r="L53" s="1382"/>
      <c r="M53" s="1388" t="s">
        <v>402</v>
      </c>
      <c r="N53" s="1253"/>
      <c r="O53" s="1253"/>
      <c r="P53" s="1253"/>
      <c r="Q53" s="2283">
        <v>1</v>
      </c>
      <c r="R53" s="1338"/>
      <c r="S53" s="1338"/>
      <c r="T53" s="363"/>
      <c r="U53" s="1049"/>
      <c r="V53" s="1390"/>
      <c r="W53" s="1391"/>
      <c r="X53" s="2322"/>
      <c r="Y53" s="2323"/>
      <c r="Z53" s="2323"/>
      <c r="AA53" s="2323"/>
      <c r="AB53" s="2323"/>
      <c r="AC53" s="2323"/>
      <c r="AD53" s="2323"/>
      <c r="AE53" s="2323"/>
      <c r="AF53" s="2324"/>
      <c r="AG53" s="2322"/>
      <c r="AH53" s="2323"/>
      <c r="AI53" s="2323"/>
      <c r="AJ53" s="2323"/>
      <c r="AK53" s="2323"/>
      <c r="AL53" s="2323"/>
      <c r="AM53" s="2323"/>
      <c r="AN53" s="2323"/>
      <c r="AO53" s="2323"/>
      <c r="AP53" s="2324"/>
      <c r="AQ53" s="1392"/>
      <c r="AS53" s="507"/>
      <c r="AT53" s="507" t="str">
        <f>IF(V53="","",V53)</f>
        <v/>
      </c>
      <c r="AU53" s="507"/>
      <c r="AV53" s="507"/>
      <c r="AW53" s="518">
        <v>0</v>
      </c>
    </row>
    <row customHeight="1" ht="22.049999999999997">
      <c r="A54" s="1274" t="s">
        <v>175</v>
      </c>
      <c r="B54" s="1274" t="s">
        <v>176</v>
      </c>
      <c r="C54" s="1274" t="s">
        <v>177</v>
      </c>
      <c r="D54" s="1274" t="s">
        <v>178</v>
      </c>
      <c r="E54" s="2316"/>
      <c r="F54" s="2316"/>
      <c r="G54" s="2316"/>
      <c r="H54" s="2337"/>
      <c r="I54" s="2127"/>
      <c r="J54" s="2153" t="str">
        <f>I53&amp;".1"</f>
        <v>....1.1</v>
      </c>
      <c r="K54" s="1274"/>
      <c r="L54" s="1274"/>
      <c r="M54" s="1317" t="s">
        <v>405</v>
      </c>
      <c r="Q54" s="2283"/>
      <c r="R54" s="2283">
        <v>1</v>
      </c>
      <c r="S54" s="525"/>
      <c r="T54" s="364"/>
      <c r="U54" s="1343" t="str">
        <f>$J54</f>
        <v>....1.1</v>
      </c>
      <c r="V54" s="293" t="s">
        <v>406</v>
      </c>
      <c r="W54" s="307"/>
      <c r="X54" s="2271"/>
      <c r="Y54" s="2272"/>
      <c r="Z54" s="2272"/>
      <c r="AA54" s="2272"/>
      <c r="AB54" s="2272"/>
      <c r="AC54" s="2261"/>
      <c r="AD54" s="2261"/>
      <c r="AE54" s="2261"/>
      <c r="AF54" s="2334"/>
      <c r="AG54" s="2271"/>
      <c r="AH54" s="2272"/>
      <c r="AI54" s="2272"/>
      <c r="AJ54" s="2272"/>
      <c r="AK54" s="2272"/>
      <c r="AL54" s="2272"/>
      <c r="AM54" s="2272"/>
      <c r="AN54" s="2272"/>
      <c r="AO54" s="2272"/>
      <c r="AP54" s="2273"/>
      <c r="AQ54" s="1265" t="s">
        <v>407</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316"/>
      <c r="F55" s="2316"/>
      <c r="G55" s="2316"/>
      <c r="H55" s="2337"/>
      <c r="I55" s="2127"/>
      <c r="J55" s="2127"/>
      <c r="K55" s="2153" t="str">
        <f>J54&amp;".1"</f>
        <v>....1.1.1</v>
      </c>
      <c r="L55" s="146"/>
      <c r="M55" s="1317" t="s">
        <v>408</v>
      </c>
      <c r="Q55" s="2283"/>
      <c r="R55" s="2283"/>
      <c r="S55" s="525">
        <v>1</v>
      </c>
      <c r="T55" s="364"/>
      <c r="U55" s="1343" t="str">
        <f>$K55</f>
        <v>....1.1.1</v>
      </c>
      <c r="V55" s="1354"/>
      <c r="W55" s="307"/>
      <c r="X55" s="758"/>
      <c r="Y55" s="758"/>
      <c r="Z55" s="758"/>
      <c r="AA55" s="758"/>
      <c r="AB55" s="1412"/>
      <c r="AC55" s="2291"/>
      <c r="AD55" s="2133" t="s">
        <v>65</v>
      </c>
      <c r="AE55" s="2291"/>
      <c r="AF55" s="2133" t="s">
        <v>65</v>
      </c>
      <c r="AG55" s="1414"/>
      <c r="AH55" s="758"/>
      <c r="AI55" s="758"/>
      <c r="AJ55" s="758"/>
      <c r="AK55" s="1264"/>
      <c r="AL55" s="2291"/>
      <c r="AM55" s="2133" t="s">
        <v>65</v>
      </c>
      <c r="AN55" s="2291"/>
      <c r="AO55" s="2133" t="s">
        <v>65</v>
      </c>
      <c r="AP55" s="1355"/>
      <c r="AQ55" s="1314" t="s">
        <v>447</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316"/>
      <c r="F56" s="2316"/>
      <c r="G56" s="2316"/>
      <c r="H56" s="2337"/>
      <c r="I56" s="2127"/>
      <c r="J56" s="2127"/>
      <c r="K56" s="2127"/>
      <c r="L56" s="2153" t="str">
        <f>K55&amp;".1"</f>
        <v>....1.1.1.1</v>
      </c>
      <c r="M56" s="1317"/>
      <c r="Q56" s="2283"/>
      <c r="R56" s="2283"/>
      <c r="S56" s="525">
        <v>1</v>
      </c>
      <c r="T56" s="364"/>
      <c r="U56" s="1343" t="str">
        <f>$L56</f>
        <v>....1.1.1.1</v>
      </c>
      <c r="V56" s="1398"/>
      <c r="W56" s="307"/>
      <c r="X56" s="332"/>
      <c r="Y56" s="758"/>
      <c r="Z56" s="758"/>
      <c r="AA56" s="758"/>
      <c r="AB56" s="1412"/>
      <c r="AC56" s="2335"/>
      <c r="AD56" s="2133"/>
      <c r="AE56" s="2335"/>
      <c r="AF56" s="2133"/>
      <c r="AG56" s="1414"/>
      <c r="AH56" s="758"/>
      <c r="AI56" s="758"/>
      <c r="AJ56" s="758"/>
      <c r="AK56" s="1264"/>
      <c r="AL56" s="2335"/>
      <c r="AM56" s="2133"/>
      <c r="AN56" s="2335"/>
      <c r="AO56" s="2133"/>
      <c r="AP56" s="1355"/>
      <c r="AQ56" s="2279" t="s">
        <v>448</v>
      </c>
      <c r="AR56" s="518">
        <f>STRCHECKDATE(X58:AP58)</f>
      </c>
      <c r="AS56" s="507"/>
      <c r="AT56" s="507" t="str">
        <f>IF(V56="","",V56)</f>
        <v/>
      </c>
      <c r="AU56" s="507"/>
      <c r="AV56" s="507"/>
      <c r="AW56" s="1162">
        <v>11</v>
      </c>
    </row>
    <row customHeight="1" ht="0">
      <c r="A57" s="1274" t="s">
        <v>175</v>
      </c>
      <c r="B57" s="1274" t="s">
        <v>176</v>
      </c>
      <c r="C57" s="1274" t="s">
        <v>177</v>
      </c>
      <c r="D57" s="1274" t="s">
        <v>178</v>
      </c>
      <c r="E57" s="2316"/>
      <c r="F57" s="2316"/>
      <c r="G57" s="2316"/>
      <c r="H57" s="2337"/>
      <c r="I57" s="2127"/>
      <c r="J57" s="2127"/>
      <c r="K57" s="2127"/>
      <c r="L57" s="2153"/>
      <c r="M57" s="1317"/>
      <c r="Q57" s="2283"/>
      <c r="R57" s="2283"/>
      <c r="S57" s="525"/>
      <c r="T57" s="364"/>
      <c r="U57" s="1349"/>
      <c r="V57" s="307"/>
      <c r="W57" s="307"/>
      <c r="X57" s="332"/>
      <c r="Y57" s="332"/>
      <c r="Z57" s="332"/>
      <c r="AA57" s="332"/>
      <c r="AB57" s="1413" t="str">
        <f>AC55&amp;"-"&amp;AE55</f>
        <v>-</v>
      </c>
      <c r="AC57" s="2335"/>
      <c r="AD57" s="2133"/>
      <c r="AE57" s="2335"/>
      <c r="AF57" s="2133"/>
      <c r="AG57" s="1389"/>
      <c r="AH57" s="332"/>
      <c r="AI57" s="332"/>
      <c r="AJ57" s="332"/>
      <c r="AK57" s="335" t="str">
        <f>AL55&amp;"-"&amp;AN55</f>
        <v>-</v>
      </c>
      <c r="AL57" s="2335"/>
      <c r="AM57" s="2133"/>
      <c r="AN57" s="2335"/>
      <c r="AO57" s="2133"/>
      <c r="AP57" s="1356"/>
      <c r="AQ57" s="2280"/>
      <c r="AS57" s="507"/>
      <c r="AT57" s="507" t="str">
        <f>IF(V57="","",V57)</f>
        <v/>
      </c>
      <c r="AU57" s="507"/>
      <c r="AV57" s="507"/>
      <c r="AW57" s="1162">
        <v>0</v>
      </c>
    </row>
    <row customHeight="1" ht="11.549999999999999">
      <c r="A58" s="1274" t="s">
        <v>175</v>
      </c>
      <c r="B58" s="1274" t="s">
        <v>176</v>
      </c>
      <c r="C58" s="1274" t="s">
        <v>177</v>
      </c>
      <c r="D58" s="1274" t="s">
        <v>178</v>
      </c>
      <c r="E58" s="2316"/>
      <c r="F58" s="2316"/>
      <c r="G58" s="2316"/>
      <c r="H58" s="2337"/>
      <c r="I58" s="2127"/>
      <c r="J58" s="2127"/>
      <c r="K58" s="2153"/>
      <c r="L58" s="1274"/>
      <c r="M58" s="1317"/>
      <c r="Q58" s="2283"/>
      <c r="R58" s="2283"/>
      <c r="S58" s="1338"/>
      <c r="T58" s="363"/>
      <c r="U58" s="1285"/>
      <c r="V58" s="295" t="s">
        <v>449</v>
      </c>
      <c r="W58" s="374"/>
      <c r="X58" s="374"/>
      <c r="Y58" s="374"/>
      <c r="Z58" s="374"/>
      <c r="AA58" s="374"/>
      <c r="AB58" s="374"/>
      <c r="AC58" s="2335"/>
      <c r="AD58" s="2133"/>
      <c r="AE58" s="2335"/>
      <c r="AF58" s="2133"/>
      <c r="AG58" s="374"/>
      <c r="AH58" s="374"/>
      <c r="AI58" s="374"/>
      <c r="AJ58" s="374"/>
      <c r="AK58" s="374"/>
      <c r="AL58" s="2335"/>
      <c r="AM58" s="2133"/>
      <c r="AN58" s="2335"/>
      <c r="AO58" s="2133"/>
      <c r="AP58" s="331"/>
      <c r="AQ58" s="2280"/>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316"/>
      <c r="F59" s="2316"/>
      <c r="G59" s="2316"/>
      <c r="H59" s="2337"/>
      <c r="I59" s="2127"/>
      <c r="J59" s="2153"/>
      <c r="K59" s="1274"/>
      <c r="L59" s="1274"/>
      <c r="M59" s="1317"/>
      <c r="Q59" s="2283"/>
      <c r="R59" s="2283"/>
      <c r="S59" s="1338"/>
      <c r="T59" s="363"/>
      <c r="U59" s="1285"/>
      <c r="V59" s="294" t="s">
        <v>410</v>
      </c>
      <c r="W59" s="374"/>
      <c r="X59" s="374"/>
      <c r="Y59" s="374"/>
      <c r="Z59" s="374"/>
      <c r="AA59" s="374"/>
      <c r="AB59" s="374"/>
      <c r="AC59" s="1415"/>
      <c r="AD59" s="1415"/>
      <c r="AE59" s="1415"/>
      <c r="AF59" s="1415"/>
      <c r="AG59" s="374"/>
      <c r="AH59" s="374"/>
      <c r="AI59" s="374"/>
      <c r="AJ59" s="374"/>
      <c r="AK59" s="374"/>
      <c r="AL59" s="374"/>
      <c r="AM59" s="374"/>
      <c r="AN59" s="374"/>
      <c r="AO59" s="374"/>
      <c r="AP59" s="331"/>
      <c r="AQ59" s="2281"/>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316"/>
      <c r="F60" s="2316"/>
      <c r="G60" s="2316"/>
      <c r="H60" s="2337"/>
      <c r="I60" s="2153"/>
      <c r="J60" s="1274"/>
      <c r="K60" s="1274"/>
      <c r="L60" s="1274"/>
      <c r="M60" s="1317"/>
      <c r="Q60" s="2283"/>
      <c r="R60" s="1338"/>
      <c r="S60" s="1338"/>
      <c r="T60" s="363"/>
      <c r="U60" s="1285"/>
      <c r="V60" s="372" t="s">
        <v>411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316"/>
      <c r="F61" s="2316"/>
      <c r="G61" s="2316"/>
      <c r="H61" s="2336"/>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316"/>
      <c r="F62" s="2316"/>
      <c r="G62" s="2315"/>
      <c r="H62" s="1381"/>
      <c r="I62" s="1381"/>
      <c r="J62" s="1381"/>
      <c r="K62" s="1381"/>
      <c r="L62" s="1381"/>
      <c r="M62" s="1384"/>
      <c r="N62" s="1385"/>
      <c r="O62" s="1385"/>
      <c r="P62" s="358"/>
      <c r="Q62" s="1323"/>
      <c r="R62" s="1324"/>
      <c r="S62" s="1323"/>
      <c r="T62" s="1323"/>
      <c r="U62" s="1329"/>
      <c r="V62" s="1332" t="s">
        <v>413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316"/>
      <c r="F63" s="2315"/>
      <c r="G63" s="1381"/>
      <c r="H63" s="1381"/>
      <c r="I63" s="1381"/>
      <c r="J63" s="1381"/>
      <c r="K63" s="1381"/>
      <c r="L63" s="1381"/>
      <c r="M63" s="1384"/>
      <c r="N63" s="1386"/>
      <c r="O63" s="1386"/>
      <c r="P63" s="358"/>
      <c r="Q63" s="1323"/>
      <c r="R63" s="1324"/>
      <c r="S63" s="1323"/>
      <c r="T63" s="1323"/>
      <c r="U63" s="1329"/>
      <c r="V63" s="1332" t="s">
        <v>414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315"/>
      <c r="F64" s="1382"/>
      <c r="G64" s="1382"/>
      <c r="H64" s="1382"/>
      <c r="I64" s="1382"/>
      <c r="J64" s="1382"/>
      <c r="K64" s="1382"/>
      <c r="L64" s="1382"/>
      <c r="M64" s="1388"/>
      <c r="N64" s="1386"/>
      <c r="O64" s="1386"/>
      <c r="P64" s="358"/>
      <c r="Q64" s="387"/>
      <c r="R64" s="1351"/>
      <c r="S64" s="387"/>
      <c r="T64" s="387"/>
      <c r="U64" s="1329"/>
      <c r="V64" s="1332" t="s">
        <v>415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443</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W67" s="1162">
        <v>34</v>
      </c>
    </row>
    <row customHeight="1" ht="21">
      <c r="P68" s="516"/>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W68" s="1162">
        <v>20</v>
      </c>
    </row>
    <row customHeight="1" ht="14.699999999999998">
      <c r="P69" s="516"/>
      <c r="AW69" s="1162">
        <v>14</v>
      </c>
    </row>
    <row customHeight="1" ht="28.5">
      <c r="P70" s="516"/>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c r="AW70" s="1162">
        <v>27</v>
      </c>
    </row>
    <row customHeight="1" ht="18.75">
      <c r="P71" s="516"/>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14521C-63B4-BEA2-B79A-E463A7CA6D39}" mc:Ignorable="x14ac xr xr2 xr3">
  <sheetPr>
    <tabColor rgb="FFCCCCFF"/>
  </sheetPr>
  <dimension ref="A1:Q79"/>
  <sheetViews>
    <sheetView topLeftCell="C37" showGridLines="0" zoomScale="90" workbookViewId="0">
      <selection activeCell="F73" sqref="F73"/>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51"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PP108.OPEN.INFO.BALANCE.VOTV.EIAS</v>
      </c>
      <c r="F2" s="276"/>
      <c r="G2" s="252"/>
      <c r="H2" s="252"/>
      <c r="I2" s="252"/>
      <c r="J2" s="879"/>
      <c r="K2" s="252"/>
      <c r="Q2" s="78">
        <v>14</v>
      </c>
    </row>
    <row customHeight="1" ht="14.699999999999998">
      <c r="E3" s="253" t="str">
        <f>version</f>
        <v>Версия отчёта: 1.1.6</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2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2"/>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24" t="s">
        <v>20</v>
      </c>
      <c r="D11" s="82"/>
      <c r="E11" s="1172" t="s">
        <v>21</v>
      </c>
      <c r="F11" s="1738" t="s">
        <v>22</v>
      </c>
      <c r="G11" s="84"/>
      <c r="H11" s="780" t="s">
        <v>23</v>
      </c>
      <c r="J11" s="883" t="s">
        <v>24</v>
      </c>
      <c r="Q11" s="81">
        <v>0</v>
      </c>
    </row>
    <row customHeight="1" ht="22.5" hidden="1">
      <c r="A12" s="2124"/>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2025</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42" customFormat="1" customHeight="1" ht="19.5" hidden="1">
      <c r="A16" s="791"/>
      <c r="B16" s="105"/>
      <c r="C16" s="415"/>
      <c r="D16" s="417"/>
      <c r="E16" s="1172" t="s">
        <v>36</v>
      </c>
      <c r="F16" s="1217"/>
      <c r="G16" s="464"/>
      <c r="H16" s="780" t="s">
        <v>23</v>
      </c>
      <c r="I16" s="418"/>
      <c r="J16" s="883"/>
      <c r="Q16" s="416">
        <v>20</v>
      </c>
    </row>
    <row customHeight="1" ht="21">
      <c r="D17" s="82"/>
      <c r="E17" s="398" t="s">
        <v>37</v>
      </c>
      <c r="F17" s="223" t="s">
        <v>38</v>
      </c>
      <c r="G17" s="80"/>
      <c r="H17" s="780" t="s">
        <v>23</v>
      </c>
      <c r="Q17" s="81">
        <v>20</v>
      </c>
    </row>
    <row customHeight="1" ht="25.5" hidden="1">
      <c r="D18" s="82"/>
      <c r="E18" s="1781" t="s">
        <v>39</v>
      </c>
      <c r="F18" s="1739"/>
      <c r="G18" s="80"/>
      <c r="I18" s="781"/>
      <c r="J18" s="2123"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23"/>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0"/>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63</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64</v>
      </c>
      <c r="F58" s="1055" t="s">
        <v>65</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6" t="s">
        <v>65</v>
      </c>
      <c r="G59" s="539"/>
      <c r="I59" s="541"/>
      <c r="J59" s="885"/>
      <c r="P59" s="542"/>
      <c r="Q59" s="540">
        <v>0</v>
      </c>
    </row>
    <row s="1642" customFormat="1" customHeight="1" ht="15">
      <c r="A60" s="793"/>
      <c r="B60" s="420"/>
      <c r="C60" s="537"/>
      <c r="D60" s="538"/>
      <c r="E60" s="1172" t="s">
        <v>66</v>
      </c>
      <c r="F60" s="1217" t="s">
        <v>67</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659"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AB67EB-A0D8-C007-B86B-907AC2D38513}"/>
    <hyperlink ref="H16" location="Титульный!H9" display="Как заполнить?" tooltip="Помощь по работе с полями отчётной формы" xr:uid="{41CC4128-494F-789D-7F48-3C2393BFF099}"/>
    <hyperlink ref="H17" location="Титульный!H9" display="Как заполнить?" tooltip="Помощь по работе с полями отчётной формы" xr:uid="{8822902C-E096-E53B-B42E-526CDF729918}"/>
    <hyperlink ref="H39" location="Титульный!H9" display="Как заполнить?" tooltip="Помощь по работе с полями отчётной формы" xr:uid="{10BCC5CE-BBA6-CF52-03C7-3AC7BDB04F67}"/>
    <hyperlink ref="H62" location="Титульный!H9" display="Как заполнить?" tooltip="Помощь по работе с полями отчётной формы" xr:uid="{C91C9866-C6E3-4FCC-0225-E0EB7BE7E919}"/>
    <hyperlink ref="F70" r:id="rId4" xr:uid="{C5F8843C-6333-9C98-F96A-832CB365776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D7748-BD96-CAB6-3B2B-3358617EC95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265" t="s">
        <v>395</v>
      </c>
      <c r="AW2" s="507"/>
      <c r="AX2" s="507" t="str">
        <f>IF(T2="","",T2)</f>
        <v>Наименование тарифа</v>
      </c>
      <c r="AY2" s="507"/>
      <c r="AZ2" s="507"/>
      <c r="BA2" s="1162">
        <v>0</v>
      </c>
    </row>
    <row customHeight="1" ht="21" hidden="1">
      <c r="A3" s="1370"/>
      <c r="B3" s="1370"/>
      <c r="C3" s="1370"/>
      <c r="D3" s="1370"/>
      <c r="E3" s="2285"/>
      <c r="F3" s="2284">
        <v>1</v>
      </c>
      <c r="G3" s="1370"/>
      <c r="H3" s="1370"/>
      <c r="I3" s="1370"/>
      <c r="J3" s="1370"/>
      <c r="K3" s="1370"/>
      <c r="L3" s="1371"/>
      <c r="M3" s="1372"/>
      <c r="N3" s="1372"/>
      <c r="O3" s="1372"/>
      <c r="P3" s="1417"/>
      <c r="Q3" s="1418"/>
      <c r="R3" s="360"/>
      <c r="S3" s="1343">
        <f>INDEX(PT_DIFFERENTIATION_NUM_TER,MATCH(B3,PT_DIFFERENTIATION_TER_ID,0))</f>
      </c>
      <c r="T3" s="315" t="s">
        <v>396</v>
      </c>
      <c r="U3" s="30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265" t="s">
        <v>397</v>
      </c>
      <c r="AW3" s="507"/>
      <c r="AX3" s="507" t="str">
        <f>IF(T3="","",T3)</f>
        <v>Территория действия тарифа</v>
      </c>
      <c r="AY3" s="507"/>
      <c r="AZ3" s="507"/>
      <c r="BA3" s="1162">
        <v>0</v>
      </c>
    </row>
    <row customHeight="1" ht="22.5" hidden="1">
      <c r="A4" s="1370"/>
      <c r="B4" s="1370"/>
      <c r="C4" s="1370"/>
      <c r="D4" s="1370"/>
      <c r="E4" s="2285"/>
      <c r="F4" s="2285"/>
      <c r="G4" s="2284">
        <v>1</v>
      </c>
      <c r="H4" s="1370"/>
      <c r="I4" s="1370"/>
      <c r="J4" s="1370"/>
      <c r="K4" s="1370"/>
      <c r="L4" s="1371"/>
      <c r="M4" s="1372"/>
      <c r="N4" s="1372"/>
      <c r="O4" s="1372"/>
      <c r="P4" s="1419"/>
      <c r="Q4" s="1418"/>
      <c r="R4" s="360"/>
      <c r="S4" s="1343">
        <f>INDEX(PT_DIFFERENTIATION_NUM_CS,MATCH(C4,PT_DIFFERENTIATION_CS_ID,0))</f>
      </c>
      <c r="T4" s="316" t="s">
        <v>398</v>
      </c>
      <c r="U4" s="30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265" t="s">
        <v>399</v>
      </c>
      <c r="AW4" s="507"/>
      <c r="AX4" s="507" t="str">
        <f>IF(T4="","",T4)</f>
        <v>Наименование системы теплоснабжения </v>
      </c>
      <c r="AY4" s="507"/>
      <c r="AZ4" s="507"/>
      <c r="BA4" s="1162">
        <v>0</v>
      </c>
    </row>
    <row customHeight="1" ht="21" hidden="1">
      <c r="A5" s="1370"/>
      <c r="B5" s="1370"/>
      <c r="C5" s="1370"/>
      <c r="D5" s="1370"/>
      <c r="E5" s="2285"/>
      <c r="F5" s="2285"/>
      <c r="G5" s="2285"/>
      <c r="H5" s="2284">
        <v>1</v>
      </c>
      <c r="I5" s="1370"/>
      <c r="J5" s="1370"/>
      <c r="K5" s="1370"/>
      <c r="L5" s="1371"/>
      <c r="M5" s="1372"/>
      <c r="N5" s="1372"/>
      <c r="O5" s="1372"/>
      <c r="P5" s="1419"/>
      <c r="Q5" s="1418"/>
      <c r="R5" s="360"/>
      <c r="S5" s="1343">
        <f>INDEX(PT_DIFFERENTIATION_NUM_IST_TE,MATCH(D5,PT_DIFFERENTIATION_IST_TE_ID,0))</f>
      </c>
      <c r="T5" s="317" t="s">
        <v>400</v>
      </c>
      <c r="U5" s="30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265" t="s">
        <v>401</v>
      </c>
      <c r="AW5" s="507"/>
      <c r="AX5" s="507" t="str">
        <f>IF(T5="","",T5)</f>
        <v>Источник тепловой энергии  </v>
      </c>
      <c r="AY5" s="507"/>
      <c r="AZ5" s="507"/>
      <c r="BA5" s="1162">
        <v>0</v>
      </c>
    </row>
    <row s="1649" customFormat="1" customHeight="1" ht="0.75" hidden="1">
      <c r="A6" s="1350"/>
      <c r="B6" s="1350"/>
      <c r="C6" s="1350"/>
      <c r="D6" s="1350"/>
      <c r="E6" s="2285"/>
      <c r="F6" s="2285"/>
      <c r="G6" s="2285"/>
      <c r="H6" s="2285"/>
      <c r="I6" s="2282">
        <f>S5&amp;".1"</f>
      </c>
      <c r="J6" s="1350"/>
      <c r="K6" s="1350"/>
      <c r="L6" s="1353" t="s">
        <v>402</v>
      </c>
      <c r="M6" s="517"/>
      <c r="N6" s="517"/>
      <c r="O6" s="517"/>
      <c r="P6" s="2283">
        <v>1</v>
      </c>
      <c r="Q6" s="1338"/>
      <c r="R6" s="363"/>
      <c r="S6" s="1049"/>
      <c r="T6" s="1390"/>
      <c r="U6" s="1391"/>
      <c r="V6" s="2323"/>
      <c r="W6" s="2323"/>
      <c r="X6" s="2323"/>
      <c r="Y6" s="2323"/>
      <c r="Z6" s="2323"/>
      <c r="AA6" s="2324"/>
      <c r="AB6" s="2322"/>
      <c r="AC6" s="2323"/>
      <c r="AD6" s="2323"/>
      <c r="AE6" s="2323"/>
      <c r="AF6" s="2323"/>
      <c r="AG6" s="2323"/>
      <c r="AH6" s="2323"/>
      <c r="AI6" s="2323"/>
      <c r="AJ6" s="2323"/>
      <c r="AK6" s="2323"/>
      <c r="AL6" s="2323"/>
      <c r="AM6" s="2323"/>
      <c r="AN6" s="2323"/>
      <c r="AO6" s="2323"/>
      <c r="AP6" s="2323"/>
      <c r="AQ6" s="2323"/>
      <c r="AR6" s="2323"/>
      <c r="AS6" s="2323"/>
      <c r="AT6" s="2324"/>
      <c r="AU6" s="1392"/>
      <c r="AW6" s="507"/>
      <c r="AX6" s="507" t="str">
        <f>IF(T6="","",T6)</f>
        <v/>
      </c>
      <c r="AY6" s="507"/>
      <c r="AZ6" s="507"/>
      <c r="BA6" s="518">
        <v>0</v>
      </c>
    </row>
    <row s="1649" customFormat="1" customHeight="1" ht="0.75" hidden="1">
      <c r="A7" s="1350"/>
      <c r="B7" s="1350"/>
      <c r="C7" s="1350"/>
      <c r="D7" s="1350"/>
      <c r="E7" s="2285"/>
      <c r="F7" s="2285"/>
      <c r="G7" s="2285"/>
      <c r="H7" s="2285"/>
      <c r="I7" s="2312"/>
      <c r="J7" s="2282">
        <f>S5&amp;".1"</f>
      </c>
      <c r="K7" s="1350"/>
      <c r="L7" s="1353"/>
      <c r="M7" s="517"/>
      <c r="N7" s="517"/>
      <c r="O7" s="517"/>
      <c r="P7" s="2283"/>
      <c r="Q7" s="2283">
        <v>1</v>
      </c>
      <c r="R7" s="364"/>
      <c r="S7" s="1049"/>
      <c r="T7" s="1406"/>
      <c r="U7" s="1391"/>
      <c r="V7" s="2323"/>
      <c r="W7" s="2323"/>
      <c r="X7" s="2323"/>
      <c r="Y7" s="2323"/>
      <c r="Z7" s="2323"/>
      <c r="AA7" s="2324"/>
      <c r="AB7" s="2322"/>
      <c r="AC7" s="2323"/>
      <c r="AD7" s="2323"/>
      <c r="AE7" s="2323"/>
      <c r="AF7" s="2323"/>
      <c r="AG7" s="2323"/>
      <c r="AH7" s="2323"/>
      <c r="AI7" s="2323"/>
      <c r="AJ7" s="2323"/>
      <c r="AK7" s="2323"/>
      <c r="AL7" s="2323"/>
      <c r="AM7" s="2323"/>
      <c r="AN7" s="2323"/>
      <c r="AO7" s="2323"/>
      <c r="AP7" s="2323"/>
      <c r="AQ7" s="2323"/>
      <c r="AR7" s="2323"/>
      <c r="AS7" s="2323"/>
      <c r="AT7" s="2324"/>
      <c r="AU7" s="1392"/>
      <c r="AW7" s="507"/>
      <c r="AX7" s="507" t="str">
        <f>IF(T7="","",T7)</f>
        <v/>
      </c>
      <c r="AY7" s="507"/>
      <c r="AZ7" s="507"/>
      <c r="BA7" s="518">
        <v>0</v>
      </c>
    </row>
    <row customHeight="1" ht="21" hidden="1">
      <c r="A8" s="1370"/>
      <c r="B8" s="1370"/>
      <c r="C8" s="1370"/>
      <c r="D8" s="1370"/>
      <c r="E8" s="2285"/>
      <c r="F8" s="2285"/>
      <c r="G8" s="2285"/>
      <c r="H8" s="2285"/>
      <c r="I8" s="2312"/>
      <c r="J8" s="2312"/>
      <c r="K8" s="2282">
        <f>S5&amp;".1"</f>
      </c>
      <c r="L8" s="1371"/>
      <c r="P8" s="2283"/>
      <c r="Q8" s="2283"/>
      <c r="R8" s="2373">
        <v>1</v>
      </c>
      <c r="S8" s="2367">
        <f>$K8</f>
      </c>
      <c r="T8" s="2370"/>
      <c r="U8" s="307"/>
      <c r="V8" s="758"/>
      <c r="W8" s="1264"/>
      <c r="X8" s="2291"/>
      <c r="Y8" s="2133" t="s">
        <v>65</v>
      </c>
      <c r="Z8" s="2291"/>
      <c r="AA8" s="2133" t="s">
        <v>65</v>
      </c>
      <c r="AB8" s="2133" t="s">
        <v>19</v>
      </c>
      <c r="AC8" s="2352"/>
      <c r="AD8" s="2231">
        <v>1</v>
      </c>
      <c r="AE8" s="2353"/>
      <c r="AF8" s="2133" t="s">
        <v>19</v>
      </c>
      <c r="AG8" s="2352"/>
      <c r="AH8" s="2231">
        <v>1</v>
      </c>
      <c r="AI8" s="2353"/>
      <c r="AJ8" s="2133" t="s">
        <v>19</v>
      </c>
      <c r="AK8" s="318"/>
      <c r="AL8" s="1344">
        <v>1</v>
      </c>
      <c r="AM8" s="1405"/>
      <c r="AN8" s="758"/>
      <c r="AO8" s="1264"/>
      <c r="AP8" s="1740"/>
      <c r="AQ8" s="1466" t="s">
        <v>65</v>
      </c>
      <c r="AR8" s="1740"/>
      <c r="AS8" s="1466" t="s">
        <v>65</v>
      </c>
      <c r="AT8" s="1355"/>
      <c r="AU8" s="2279" t="s">
        <v>459</v>
      </c>
      <c r="AV8" s="518">
        <f>STRCHECKDATE(V11:AT11)</f>
      </c>
      <c r="AW8" s="507"/>
      <c r="AX8" s="507" t="str">
        <f>IF(T8="","",T8)</f>
        <v/>
      </c>
      <c r="AY8" s="507"/>
      <c r="AZ8" s="507"/>
      <c r="BA8" s="1162">
        <v>0</v>
      </c>
    </row>
    <row customHeight="1" ht="11.25" hidden="1">
      <c r="A9" s="1370"/>
      <c r="B9" s="1370"/>
      <c r="C9" s="1370"/>
      <c r="D9" s="1370"/>
      <c r="E9" s="2285"/>
      <c r="F9" s="2285"/>
      <c r="G9" s="2285"/>
      <c r="H9" s="2285"/>
      <c r="I9" s="2312"/>
      <c r="J9" s="2312"/>
      <c r="K9" s="2282"/>
      <c r="L9" s="1371"/>
      <c r="P9" s="2283"/>
      <c r="Q9" s="2283"/>
      <c r="R9" s="2373"/>
      <c r="S9" s="2368"/>
      <c r="T9" s="2371"/>
      <c r="U9" s="307"/>
      <c r="V9" s="1400"/>
      <c r="W9" s="1404"/>
      <c r="X9" s="2291"/>
      <c r="Y9" s="2133"/>
      <c r="Z9" s="2291"/>
      <c r="AA9" s="2133"/>
      <c r="AB9" s="2133"/>
      <c r="AC9" s="2352"/>
      <c r="AD9" s="2231"/>
      <c r="AE9" s="2353"/>
      <c r="AF9" s="2133"/>
      <c r="AG9" s="2352"/>
      <c r="AH9" s="2231"/>
      <c r="AI9" s="2353"/>
      <c r="AJ9" s="2133"/>
      <c r="AK9" s="323"/>
      <c r="AL9" s="423"/>
      <c r="AM9" s="422" t="s">
        <v>460</v>
      </c>
      <c r="AN9" s="1400"/>
      <c r="AO9" s="1503"/>
      <c r="AP9" s="1400"/>
      <c r="AQ9" s="1400"/>
      <c r="AR9" s="1400"/>
      <c r="AS9" s="1400"/>
      <c r="AT9" s="1397"/>
      <c r="AU9" s="2280"/>
      <c r="AW9" s="507"/>
      <c r="AX9" s="507"/>
      <c r="AY9" s="507"/>
      <c r="AZ9" s="507"/>
      <c r="BA9" s="1162">
        <v>0</v>
      </c>
    </row>
    <row customHeight="1" ht="11.25" hidden="1">
      <c r="A10" s="1370"/>
      <c r="B10" s="1370"/>
      <c r="C10" s="1370"/>
      <c r="D10" s="1370"/>
      <c r="E10" s="2285"/>
      <c r="F10" s="2285"/>
      <c r="G10" s="2285"/>
      <c r="H10" s="2285"/>
      <c r="I10" s="2312"/>
      <c r="J10" s="2312"/>
      <c r="K10" s="2282"/>
      <c r="L10" s="1371"/>
      <c r="P10" s="2283"/>
      <c r="Q10" s="2283"/>
      <c r="R10" s="2373"/>
      <c r="S10" s="2368"/>
      <c r="T10" s="2371"/>
      <c r="U10" s="307"/>
      <c r="V10" s="1400"/>
      <c r="W10" s="1404"/>
      <c r="X10" s="2291"/>
      <c r="Y10" s="2133"/>
      <c r="Z10" s="2291"/>
      <c r="AA10" s="2133"/>
      <c r="AB10" s="2133"/>
      <c r="AC10" s="2352"/>
      <c r="AD10" s="2231"/>
      <c r="AE10" s="2353"/>
      <c r="AF10" s="2133"/>
      <c r="AG10" s="301"/>
      <c r="AH10" s="422"/>
      <c r="AI10" s="422" t="s">
        <v>461</v>
      </c>
      <c r="AJ10" s="1400"/>
      <c r="AK10" s="1400"/>
      <c r="AL10" s="1400"/>
      <c r="AM10" s="1400"/>
      <c r="AN10" s="1400"/>
      <c r="AO10" s="1503"/>
      <c r="AP10" s="1400"/>
      <c r="AQ10" s="1400"/>
      <c r="AR10" s="1400"/>
      <c r="AS10" s="1400"/>
      <c r="AT10" s="1397"/>
      <c r="AU10" s="2280"/>
      <c r="AW10" s="507"/>
      <c r="AX10" s="507"/>
      <c r="AY10" s="507"/>
      <c r="AZ10" s="507"/>
      <c r="BA10" s="1162">
        <v>0</v>
      </c>
    </row>
    <row customHeight="1" ht="11.25" hidden="1">
      <c r="A11" s="1370"/>
      <c r="B11" s="1370"/>
      <c r="C11" s="1370"/>
      <c r="D11" s="1370"/>
      <c r="E11" s="2285"/>
      <c r="F11" s="2285"/>
      <c r="G11" s="2285"/>
      <c r="H11" s="2285"/>
      <c r="I11" s="2312"/>
      <c r="J11" s="2312"/>
      <c r="K11" s="2282"/>
      <c r="L11" s="1371"/>
      <c r="P11" s="2283"/>
      <c r="Q11" s="2283"/>
      <c r="R11" s="2373"/>
      <c r="S11" s="2369"/>
      <c r="T11" s="2372"/>
      <c r="U11" s="307"/>
      <c r="V11" s="1400"/>
      <c r="W11" s="1403" t="str">
        <f>X8&amp;"-"&amp;Z8</f>
        <v>-</v>
      </c>
      <c r="X11" s="2292"/>
      <c r="Y11" s="2133"/>
      <c r="Z11" s="2292"/>
      <c r="AA11" s="2133"/>
      <c r="AB11" s="2133"/>
      <c r="AC11" s="319"/>
      <c r="AD11" s="321"/>
      <c r="AE11" s="422" t="s">
        <v>462</v>
      </c>
      <c r="AF11" s="1400"/>
      <c r="AG11" s="1400"/>
      <c r="AH11" s="1400"/>
      <c r="AI11" s="1400"/>
      <c r="AJ11" s="1400"/>
      <c r="AK11" s="1400"/>
      <c r="AL11" s="1400"/>
      <c r="AM11" s="1400"/>
      <c r="AN11" s="1400"/>
      <c r="AO11" s="1401" t="str">
        <f>AP8&amp;"-"&amp;AR8</f>
        <v>-</v>
      </c>
      <c r="AP11" s="1400"/>
      <c r="AQ11" s="1400"/>
      <c r="AR11" s="1400"/>
      <c r="AS11" s="1400"/>
      <c r="AT11" s="1356"/>
      <c r="AU11" s="2280"/>
      <c r="AW11" s="507"/>
      <c r="AX11" s="507" t="str">
        <f>IF(T11="","",T11)</f>
        <v/>
      </c>
      <c r="AY11" s="507"/>
      <c r="AZ11" s="507"/>
      <c r="BA11" s="1162">
        <v>0</v>
      </c>
    </row>
    <row customHeight="1" ht="11.25" hidden="1">
      <c r="A12" s="1370"/>
      <c r="B12" s="1370"/>
      <c r="C12" s="1370"/>
      <c r="D12" s="1370"/>
      <c r="E12" s="2285"/>
      <c r="F12" s="2285"/>
      <c r="G12" s="2285"/>
      <c r="H12" s="2285"/>
      <c r="I12" s="2312"/>
      <c r="J12" s="2282"/>
      <c r="K12" s="1370"/>
      <c r="L12" s="1371"/>
      <c r="P12" s="2283"/>
      <c r="Q12" s="2283"/>
      <c r="R12" s="363"/>
      <c r="S12" s="1285"/>
      <c r="T12" s="294" t="s">
        <v>463</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81"/>
      <c r="AW12" s="507"/>
      <c r="AX12" s="507" t="str">
        <f>IF(T12="","",T12)</f>
        <v>Добавить строку</v>
      </c>
      <c r="AY12" s="507"/>
      <c r="AZ12" s="507"/>
      <c r="BA12" s="1162">
        <v>0</v>
      </c>
    </row>
    <row s="1649" customFormat="1" customHeight="1" ht="0.75" hidden="1">
      <c r="A13" s="1350"/>
      <c r="B13" s="1350"/>
      <c r="C13" s="1350"/>
      <c r="D13" s="1350"/>
      <c r="E13" s="2285"/>
      <c r="F13" s="2285"/>
      <c r="G13" s="2285"/>
      <c r="H13" s="2285"/>
      <c r="I13" s="2282"/>
      <c r="J13" s="1350"/>
      <c r="K13" s="1350"/>
      <c r="L13" s="1353"/>
      <c r="M13" s="517"/>
      <c r="N13" s="517"/>
      <c r="O13" s="517"/>
      <c r="P13" s="2283"/>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85"/>
      <c r="F14" s="2285"/>
      <c r="G14" s="2285"/>
      <c r="H14" s="2284"/>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85"/>
      <c r="F15" s="2285"/>
      <c r="G15" s="2284"/>
      <c r="H15" s="1321"/>
      <c r="I15" s="1321"/>
      <c r="J15" s="1321"/>
      <c r="K15" s="1321"/>
      <c r="L15" s="1346"/>
      <c r="M15" s="1322"/>
      <c r="N15" s="1322"/>
      <c r="P15" s="1323"/>
      <c r="Q15" s="1324"/>
      <c r="R15" s="1323"/>
      <c r="S15" s="1329"/>
      <c r="T15" s="1332" t="s">
        <v>413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85"/>
      <c r="F16" s="2284"/>
      <c r="G16" s="1321"/>
      <c r="H16" s="1321"/>
      <c r="I16" s="1321"/>
      <c r="J16" s="1321"/>
      <c r="K16" s="1321"/>
      <c r="L16" s="1346"/>
      <c r="M16" s="1328"/>
      <c r="N16" s="1328"/>
      <c r="P16" s="1323"/>
      <c r="Q16" s="1324"/>
      <c r="R16" s="1323"/>
      <c r="S16" s="1329"/>
      <c r="T16" s="1332" t="s">
        <v>414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84"/>
      <c r="F17" s="1350"/>
      <c r="G17" s="1350"/>
      <c r="H17" s="1350"/>
      <c r="I17" s="1350"/>
      <c r="J17" s="1350"/>
      <c r="K17" s="1350"/>
      <c r="L17" s="1353"/>
      <c r="M17" s="1328"/>
      <c r="N17" s="1328"/>
      <c r="O17" s="525"/>
      <c r="P17" s="387"/>
      <c r="Q17" s="1351"/>
      <c r="R17" s="387"/>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65</v>
      </c>
      <c r="AR19" s="1742"/>
      <c r="AS19" s="1467" t="s">
        <v>65</v>
      </c>
      <c r="BA19" s="1162">
        <v>0</v>
      </c>
    </row>
    <row customHeight="1" ht="14.25" hidden="1">
      <c r="AV20" s="503"/>
      <c r="AW20" s="503"/>
      <c r="AX20" s="503"/>
      <c r="AY20" s="503"/>
      <c r="AZ20" s="503"/>
      <c r="BA20" s="1162">
        <v>0</v>
      </c>
    </row>
    <row customHeight="1" ht="14.25" hidden="1">
      <c r="O21" s="1374" t="s">
        <v>416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417</v>
      </c>
      <c r="P23" s="1515"/>
      <c r="Q23" s="1517"/>
      <c r="R23" s="1517"/>
      <c r="Y23" s="1514" t="s">
        <v>419</v>
      </c>
      <c r="AA23" s="1514" t="s">
        <v>420</v>
      </c>
      <c r="AB23" s="1514" t="s">
        <v>464</v>
      </c>
      <c r="AE23" s="1514" t="s">
        <v>465</v>
      </c>
      <c r="AF23" s="1514" t="s">
        <v>464</v>
      </c>
      <c r="AI23" s="1514" t="s">
        <v>466</v>
      </c>
      <c r="AJ23" s="1514" t="s">
        <v>464</v>
      </c>
      <c r="AM23" s="1514" t="s">
        <v>467</v>
      </c>
      <c r="AQ23" s="1514" t="s">
        <v>419</v>
      </c>
      <c r="AS23" s="1514" t="s">
        <v>420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250"/>
      <c r="BA27" s="1162">
        <v>26</v>
      </c>
    </row>
    <row customHeight="1" ht="14.699999999999998">
      <c r="Q28" s="298"/>
      <c r="R28" s="383"/>
      <c r="S28" s="2275" t="str">
        <f>IF(org=0,"Не определено",org)</f>
        <v>Общество с ограниченной ответственностью "Сигнал", г. Серов</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6"/>
      <c r="U30" s="1379"/>
      <c r="V30" s="2277" t="str">
        <f>IF(TITLE_NAME_OR_PR_CHANGE="",IF(TITLE_NAME_OR_PR="","",TITLE_NAME_OR_PR),TITLE_NAME_OR_PR_CHANGE)</f>
        <v/>
      </c>
      <c r="W30" s="2277"/>
      <c r="X30" s="2277"/>
      <c r="Y30" s="2277"/>
      <c r="Z30" s="2277"/>
      <c r="AA30" s="33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6" t="str">
        <f>"Дата документа об "&amp;IF(TITLE_DATE_PR_CHANGE="","утверждении","изменении")&amp;" тарифов"</f>
        <v>Дата документа об утверждении тарифов</v>
      </c>
      <c r="T31" s="2276"/>
      <c r="U31" s="1379"/>
      <c r="V31" s="2290" t="str">
        <f>IF(TITLE_DATE_PR_CHANGE="",IF(TITLE_DATE_PR="","",TITLE_DATE_PR),TITLE_DATE_PR_CHANGE)</f>
        <v/>
      </c>
      <c r="W31" s="2290"/>
      <c r="X31" s="2290"/>
      <c r="Y31" s="2290"/>
      <c r="Z31" s="2290"/>
      <c r="AA31" s="33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"Номер документа об "&amp;IF(TITLE_DATE_PR_CHANGE="","утверждении","изменении")&amp;" тарифов"</f>
        <v>Номер документа об утверждении тарифов</v>
      </c>
      <c r="T32" s="2276"/>
      <c r="U32" s="1379"/>
      <c r="V32" s="2277" t="str">
        <f>IF(TITLE_NUMBER_PR_CHANGE="",IF(TITLE_NUMBER_PR="","",TITLE_NUMBER_PR),TITLE_NUMBER_PR_CHANGE)</f>
        <v/>
      </c>
      <c r="W32" s="2277"/>
      <c r="X32" s="2277"/>
      <c r="Y32" s="2277"/>
      <c r="Z32" s="2277"/>
      <c r="AA32" s="33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43</v>
      </c>
      <c r="T33" s="2276"/>
      <c r="U33" s="1379"/>
      <c r="V33" s="2277" t="str">
        <f>IF(TITLE_IST_PUB_CHANGE="",IF(TITLE_IST_PUB="","",TITLE_IST_PUB),TITLE_IST_PUB_CHANGE)</f>
        <v/>
      </c>
      <c r="W33" s="2277"/>
      <c r="X33" s="2277"/>
      <c r="Y33" s="2277"/>
      <c r="Z33" s="2277"/>
      <c r="AA33" s="33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333"/>
      <c r="AT33" s="333"/>
      <c r="AU33" s="287"/>
      <c r="AV33" s="375"/>
      <c r="AW33" s="375"/>
      <c r="AX33" s="375"/>
      <c r="AY33" s="375"/>
      <c r="AZ33" s="375"/>
      <c r="BA33" s="425">
        <v>0</v>
      </c>
    </row>
    <row customHeight="1" ht="14.25" hidden="1">
      <c r="Q34" s="298"/>
      <c r="R34" s="383"/>
      <c r="S34" s="1282"/>
      <c r="T34" s="464"/>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6" t="str">
        <f>"Дата подачи заявления об "&amp;IF(TITLE_DATE_PR_CHANGE="","утверждении","изменении")&amp;" тарифов"</f>
        <v>Дата подачи заявления об утверждении тарифов</v>
      </c>
      <c r="T35" s="2276"/>
      <c r="U35" s="1379"/>
      <c r="V35" s="2290" t="str">
        <f>IF(TITLE_DATE_PR_CHANGE="",IF(TITLE_DATE_PR="","",TITLE_DATE_PR),TITLE_DATE_PR_CHANGE)</f>
        <v/>
      </c>
      <c r="W35" s="2290"/>
      <c r="X35" s="2290"/>
      <c r="Y35" s="2290"/>
      <c r="Z35" s="2290"/>
      <c r="AA35" s="33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6" t="str">
        <f>"Номер подачи заявления об "&amp;IF(TITLE_DATE_PR_CHANGE="","утверждении","изменении")&amp;" тарифов"</f>
        <v>Номер подачи заявления об утверждении тарифов</v>
      </c>
      <c r="T36" s="2276"/>
      <c r="U36" s="1379"/>
      <c r="V36" s="2277" t="str">
        <f>IF(TITLE_NUMBER_PR_CHANGE="",IF(TITLE_NUMBER_PR="","",TITLE_NUMBER_PR),TITLE_NUMBER_PR_CHANGE)</f>
        <v/>
      </c>
      <c r="W36" s="2277"/>
      <c r="X36" s="2277"/>
      <c r="Y36" s="2277"/>
      <c r="Z36" s="2277"/>
      <c r="AA36" s="33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422</v>
      </c>
      <c r="AB37" s="333"/>
      <c r="AC37" s="333"/>
      <c r="AD37" s="333"/>
      <c r="AE37" s="333"/>
      <c r="AF37" s="333"/>
      <c r="AG37" s="333"/>
      <c r="AH37" s="333"/>
      <c r="AI37" s="333"/>
      <c r="AJ37" s="333"/>
      <c r="AK37" s="333"/>
      <c r="AL37" s="333"/>
      <c r="AM37" s="333"/>
      <c r="AN37" s="333"/>
      <c r="AO37" s="333"/>
      <c r="AP37" s="333"/>
      <c r="AQ37" s="333"/>
      <c r="AR37" s="333"/>
      <c r="AS37" s="285" t="s">
        <v>422</v>
      </c>
      <c r="AV37" s="375"/>
      <c r="AW37" s="375"/>
      <c r="AX37" s="375"/>
      <c r="AY37" s="375"/>
      <c r="AZ37" s="375"/>
      <c r="BA37" s="425">
        <v>1</v>
      </c>
    </row>
    <row customHeight="1" ht="14.699999999999998">
      <c r="Q38" s="298"/>
      <c r="R38" s="383"/>
      <c r="S38" s="1282"/>
      <c r="T38" s="370"/>
      <c r="U38" s="1251"/>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162">
        <v>14</v>
      </c>
    </row>
    <row customHeight="1" ht="14.699999999999998">
      <c r="Q39" s="298"/>
      <c r="R39" s="383"/>
      <c r="S39" s="2153" t="s">
        <v>299</v>
      </c>
      <c r="T39" s="2153"/>
      <c r="U39" s="2153"/>
      <c r="V39" s="2153"/>
      <c r="W39" s="2153"/>
      <c r="X39" s="2153"/>
      <c r="Y39" s="2153"/>
      <c r="Z39" s="2153"/>
      <c r="AA39" s="2153"/>
      <c r="AB39" s="2201"/>
      <c r="AC39" s="2201"/>
      <c r="AD39" s="2201"/>
      <c r="AE39" s="2201"/>
      <c r="AF39" s="2153"/>
      <c r="AG39" s="2153"/>
      <c r="AH39" s="2153"/>
      <c r="AI39" s="2153"/>
      <c r="AJ39" s="2153"/>
      <c r="AK39" s="2153"/>
      <c r="AL39" s="2153"/>
      <c r="AM39" s="2153"/>
      <c r="AN39" s="2153"/>
      <c r="AO39" s="2153"/>
      <c r="AP39" s="2153"/>
      <c r="AQ39" s="2153"/>
      <c r="AR39" s="2153"/>
      <c r="AS39" s="2153"/>
      <c r="AT39" s="2153"/>
      <c r="AU39" s="2153" t="s">
        <v>300</v>
      </c>
      <c r="BA39" s="1162">
        <v>14</v>
      </c>
    </row>
    <row customHeight="1" ht="14.699999999999998">
      <c r="Q40" s="298"/>
      <c r="R40" s="383"/>
      <c r="S40" s="2299" t="s">
        <v>88</v>
      </c>
      <c r="T40" s="2235" t="s">
        <v>468</v>
      </c>
      <c r="U40" s="308"/>
      <c r="V40" s="2301"/>
      <c r="W40" s="2301"/>
      <c r="X40" s="2301"/>
      <c r="Y40" s="2301"/>
      <c r="Z40" s="2302"/>
      <c r="AA40" s="2362" t="s">
        <v>425</v>
      </c>
      <c r="AB40" s="2354" t="s">
        <v>469</v>
      </c>
      <c r="AC40" s="2317"/>
      <c r="AD40" s="2317"/>
      <c r="AE40" s="2355"/>
      <c r="AF40" s="2317" t="s">
        <v>470</v>
      </c>
      <c r="AG40" s="2317"/>
      <c r="AH40" s="2317"/>
      <c r="AI40" s="2355"/>
      <c r="AJ40" s="2354" t="s">
        <v>471</v>
      </c>
      <c r="AK40" s="2317"/>
      <c r="AL40" s="2317"/>
      <c r="AM40" s="2355"/>
      <c r="AN40" s="2354" t="s">
        <v>424</v>
      </c>
      <c r="AO40" s="2317"/>
      <c r="AP40" s="2301"/>
      <c r="AQ40" s="2301"/>
      <c r="AR40" s="2302"/>
      <c r="AS40" s="2303" t="s">
        <v>425</v>
      </c>
      <c r="AT40" s="2306" t="s">
        <v>427</v>
      </c>
      <c r="AU40" s="2153"/>
      <c r="BA40" s="1162">
        <v>14</v>
      </c>
    </row>
    <row customHeight="1" ht="35.699999999999996">
      <c r="Q41" s="298"/>
      <c r="R41" s="383"/>
      <c r="S41" s="2299"/>
      <c r="T41" s="2235"/>
      <c r="U41" s="1038"/>
      <c r="V41" s="2153" t="s">
        <v>472</v>
      </c>
      <c r="W41" s="2153"/>
      <c r="X41" s="2320" t="s">
        <v>431</v>
      </c>
      <c r="Y41" s="2339"/>
      <c r="Z41" s="2340"/>
      <c r="AA41" s="2363"/>
      <c r="AB41" s="2356"/>
      <c r="AC41" s="2357"/>
      <c r="AD41" s="2357"/>
      <c r="AE41" s="2358"/>
      <c r="AF41" s="2357"/>
      <c r="AG41" s="2357"/>
      <c r="AH41" s="2357"/>
      <c r="AI41" s="2358"/>
      <c r="AJ41" s="2356"/>
      <c r="AK41" s="2357"/>
      <c r="AL41" s="2357"/>
      <c r="AM41" s="2357"/>
      <c r="AN41" s="2153" t="s">
        <v>472</v>
      </c>
      <c r="AO41" s="2153"/>
      <c r="AP41" s="2339" t="s">
        <v>431</v>
      </c>
      <c r="AQ41" s="2339"/>
      <c r="AR41" s="2340"/>
      <c r="AS41" s="2304"/>
      <c r="AT41" s="2307"/>
      <c r="AU41" s="2153"/>
      <c r="BA41" s="1162">
        <v>34</v>
      </c>
    </row>
    <row customHeight="1" ht="14.699999999999998">
      <c r="Q42" s="298"/>
      <c r="R42" s="383"/>
      <c r="S42" s="2299"/>
      <c r="T42" s="2235"/>
      <c r="U42" s="1038"/>
      <c r="V42" s="2366" t="str">
        <f>IF($AN$42&lt;&gt;"",$AN$42,"")</f>
        <v/>
      </c>
      <c r="W42" s="2366"/>
      <c r="X42" s="2321"/>
      <c r="Y42" s="2341"/>
      <c r="Z42" s="2342"/>
      <c r="AA42" s="2363"/>
      <c r="AB42" s="2356"/>
      <c r="AC42" s="2357"/>
      <c r="AD42" s="2357"/>
      <c r="AE42" s="2358"/>
      <c r="AF42" s="2357"/>
      <c r="AG42" s="2357"/>
      <c r="AH42" s="2357"/>
      <c r="AI42" s="2358"/>
      <c r="AJ42" s="2356"/>
      <c r="AK42" s="2357"/>
      <c r="AL42" s="2357"/>
      <c r="AM42" s="2357"/>
      <c r="AN42" s="2365"/>
      <c r="AO42" s="2365"/>
      <c r="AP42" s="2341"/>
      <c r="AQ42" s="2341"/>
      <c r="AR42" s="2342"/>
      <c r="AS42" s="2304"/>
      <c r="AT42" s="2307"/>
      <c r="AU42" s="2153"/>
      <c r="BA42" s="1162">
        <v>14</v>
      </c>
    </row>
    <row customHeight="1" ht="14.699999999999998">
      <c r="A43" s="1377"/>
      <c r="B43" s="1377" t="s">
        <v>136</v>
      </c>
      <c r="C43" s="1377" t="s">
        <v>137</v>
      </c>
      <c r="D43" s="1377" t="s">
        <v>138</v>
      </c>
      <c r="E43" s="1371" t="s">
        <v>432</v>
      </c>
      <c r="F43" s="1371" t="s">
        <v>433</v>
      </c>
      <c r="G43" s="1371" t="s">
        <v>434</v>
      </c>
      <c r="H43" s="1371" t="s">
        <v>435</v>
      </c>
      <c r="I43" s="1371" t="s">
        <v>436</v>
      </c>
      <c r="J43" s="1371" t="s">
        <v>437</v>
      </c>
      <c r="K43" s="1371" t="s">
        <v>438</v>
      </c>
      <c r="L43" s="1371" t="s">
        <v>417</v>
      </c>
      <c r="Q43" s="298"/>
      <c r="R43" s="383"/>
      <c r="S43" s="2299"/>
      <c r="T43" s="2235"/>
      <c r="U43" s="309"/>
      <c r="V43" s="1337" t="s">
        <v>473</v>
      </c>
      <c r="W43" s="1337" t="s">
        <v>474</v>
      </c>
      <c r="X43" s="1345" t="s">
        <v>441</v>
      </c>
      <c r="Y43" s="2296" t="s">
        <v>442</v>
      </c>
      <c r="Z43" s="2297"/>
      <c r="AA43" s="2364"/>
      <c r="AB43" s="2359"/>
      <c r="AC43" s="2360"/>
      <c r="AD43" s="2360"/>
      <c r="AE43" s="2361"/>
      <c r="AF43" s="2360"/>
      <c r="AG43" s="2360"/>
      <c r="AH43" s="2360"/>
      <c r="AI43" s="2361"/>
      <c r="AJ43" s="2359"/>
      <c r="AK43" s="2360"/>
      <c r="AL43" s="2360"/>
      <c r="AM43" s="2361"/>
      <c r="AN43" s="1864" t="s">
        <v>473</v>
      </c>
      <c r="AO43" s="1864" t="s">
        <v>474</v>
      </c>
      <c r="AP43" s="1345" t="s">
        <v>441</v>
      </c>
      <c r="AQ43" s="2296" t="s">
        <v>442</v>
      </c>
      <c r="AR43" s="2297"/>
      <c r="AS43" s="2305"/>
      <c r="AT43" s="2308"/>
      <c r="AU43" s="2153"/>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98">
        <f>OFFSET(Y44,0,-1)+1</f>
        <v>6</v>
      </c>
      <c r="Z44" s="2298"/>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8">
        <f>OFFSET(AQ44,0,-1)+1</f>
        <v>4</v>
      </c>
      <c r="AR44" s="2298"/>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84">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199</v>
      </c>
      <c r="B46" s="1370" t="s">
        <v>200</v>
      </c>
      <c r="C46" s="1370"/>
      <c r="D46" s="1370"/>
      <c r="E46" s="2285"/>
      <c r="F46" s="2284">
        <v>1</v>
      </c>
      <c r="G46" s="1370"/>
      <c r="H46" s="1370"/>
      <c r="I46" s="1370"/>
      <c r="J46" s="1370"/>
      <c r="K46" s="1370"/>
      <c r="L46" s="1371"/>
      <c r="M46" s="1372"/>
      <c r="N46" s="1372"/>
      <c r="O46" s="1372"/>
      <c r="P46" s="1417"/>
      <c r="Q46" s="1418"/>
      <c r="R46" s="360"/>
      <c r="S46" s="1343" t="str">
        <f>INDEX(PT_DIFFERENTIATION_NUM_TER,MATCH(B46,PT_DIFFERENTIATION_TER_ID,0))</f>
        <v>.</v>
      </c>
      <c r="T46" s="315" t="s">
        <v>396</v>
      </c>
      <c r="U46" s="30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265" t="s">
        <v>397</v>
      </c>
      <c r="AW46" s="507"/>
      <c r="AX46" s="507" t="str">
        <f>IF(T46="","",T46)</f>
        <v>Территория действия тарифа</v>
      </c>
      <c r="AY46" s="507"/>
      <c r="AZ46" s="507"/>
      <c r="BA46" s="1162">
        <v>21</v>
      </c>
    </row>
    <row customHeight="1" ht="24">
      <c r="A47" s="1370" t="s">
        <v>199</v>
      </c>
      <c r="B47" s="1370" t="s">
        <v>200</v>
      </c>
      <c r="C47" s="1370" t="s">
        <v>201</v>
      </c>
      <c r="D47" s="1370"/>
      <c r="E47" s="2285"/>
      <c r="F47" s="2285"/>
      <c r="G47" s="2284">
        <v>1</v>
      </c>
      <c r="H47" s="1370"/>
      <c r="I47" s="1370"/>
      <c r="J47" s="1370"/>
      <c r="K47" s="1370"/>
      <c r="L47" s="1371"/>
      <c r="M47" s="1372"/>
      <c r="N47" s="1372"/>
      <c r="O47" s="1372"/>
      <c r="P47" s="1419"/>
      <c r="Q47" s="1418"/>
      <c r="R47" s="360"/>
      <c r="S47" s="1343" t="str">
        <f>INDEX(PT_DIFFERENTIATION_NUM_CS,MATCH(C47,PT_DIFFERENTIATION_CS_ID,0))</f>
        <v>..</v>
      </c>
      <c r="T47" s="316" t="s">
        <v>398</v>
      </c>
      <c r="U47" s="30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265" t="s">
        <v>399</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85"/>
      <c r="F48" s="2285"/>
      <c r="G48" s="2285"/>
      <c r="H48" s="2284">
        <v>1</v>
      </c>
      <c r="I48" s="1370"/>
      <c r="J48" s="1370"/>
      <c r="K48" s="1370"/>
      <c r="L48" s="1371"/>
      <c r="M48" s="1372"/>
      <c r="N48" s="1372"/>
      <c r="O48" s="1372"/>
      <c r="P48" s="1419"/>
      <c r="Q48" s="1418"/>
      <c r="R48" s="360"/>
      <c r="S48" s="1343" t="str">
        <f>INDEX(PT_DIFFERENTIATION_NUM_IST_TE,MATCH(D48,PT_DIFFERENTIATION_IST_TE_ID,0))</f>
        <v>...</v>
      </c>
      <c r="T48" s="317" t="s">
        <v>400</v>
      </c>
      <c r="U48" s="30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265" t="s">
        <v>401</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85"/>
      <c r="F49" s="2285"/>
      <c r="G49" s="2285"/>
      <c r="H49" s="2285"/>
      <c r="I49" s="2282" t="str">
        <f>S48&amp;".1"</f>
        <v>....1</v>
      </c>
      <c r="J49" s="1350"/>
      <c r="K49" s="1350"/>
      <c r="L49" s="1353" t="s">
        <v>402</v>
      </c>
      <c r="M49" s="517"/>
      <c r="N49" s="517"/>
      <c r="O49" s="517"/>
      <c r="P49" s="2283">
        <v>1</v>
      </c>
      <c r="Q49" s="1338"/>
      <c r="R49" s="363"/>
      <c r="S49" s="1049"/>
      <c r="T49" s="1390"/>
      <c r="U49" s="1391"/>
      <c r="V49" s="2323"/>
      <c r="W49" s="2323"/>
      <c r="X49" s="2323"/>
      <c r="Y49" s="2323"/>
      <c r="Z49" s="2323"/>
      <c r="AA49" s="2324"/>
      <c r="AB49" s="2322"/>
      <c r="AC49" s="2323"/>
      <c r="AD49" s="2323"/>
      <c r="AE49" s="2323"/>
      <c r="AF49" s="2323"/>
      <c r="AG49" s="2323"/>
      <c r="AH49" s="2323"/>
      <c r="AI49" s="2323"/>
      <c r="AJ49" s="2323"/>
      <c r="AK49" s="2323"/>
      <c r="AL49" s="2323"/>
      <c r="AM49" s="2323"/>
      <c r="AN49" s="2323"/>
      <c r="AO49" s="2323"/>
      <c r="AP49" s="2323"/>
      <c r="AQ49" s="2323"/>
      <c r="AR49" s="2323"/>
      <c r="AS49" s="2323"/>
      <c r="AT49" s="2324"/>
      <c r="AU49" s="1392"/>
      <c r="AW49" s="507"/>
      <c r="AX49" s="507" t="str">
        <f>IF(T49="","",T49)</f>
        <v/>
      </c>
      <c r="AY49" s="507"/>
      <c r="AZ49" s="507"/>
      <c r="BA49" s="518">
        <v>1</v>
      </c>
    </row>
    <row s="1649" customFormat="1" customHeight="1" ht="1.05">
      <c r="A50" s="1350" t="s">
        <v>199</v>
      </c>
      <c r="B50" s="1350" t="s">
        <v>200</v>
      </c>
      <c r="C50" s="1350" t="s">
        <v>201</v>
      </c>
      <c r="D50" s="1350" t="s">
        <v>202</v>
      </c>
      <c r="E50" s="2285"/>
      <c r="F50" s="2285"/>
      <c r="G50" s="2285"/>
      <c r="H50" s="2285"/>
      <c r="I50" s="2312"/>
      <c r="J50" s="2282" t="str">
        <f>S48&amp;".1"</f>
        <v>....1</v>
      </c>
      <c r="K50" s="1350"/>
      <c r="L50" s="1353"/>
      <c r="M50" s="517"/>
      <c r="N50" s="517"/>
      <c r="O50" s="517"/>
      <c r="P50" s="2283"/>
      <c r="Q50" s="2283">
        <v>1</v>
      </c>
      <c r="R50" s="364"/>
      <c r="S50" s="1049"/>
      <c r="T50" s="1406"/>
      <c r="U50" s="1391"/>
      <c r="V50" s="2323"/>
      <c r="W50" s="2323"/>
      <c r="X50" s="2323"/>
      <c r="Y50" s="2323"/>
      <c r="Z50" s="2323"/>
      <c r="AA50" s="2324"/>
      <c r="AB50" s="2322"/>
      <c r="AC50" s="2323"/>
      <c r="AD50" s="2323"/>
      <c r="AE50" s="2323"/>
      <c r="AF50" s="2323"/>
      <c r="AG50" s="2323"/>
      <c r="AH50" s="2323"/>
      <c r="AI50" s="2323"/>
      <c r="AJ50" s="2323"/>
      <c r="AK50" s="2323"/>
      <c r="AL50" s="2323"/>
      <c r="AM50" s="2323"/>
      <c r="AN50" s="2323"/>
      <c r="AO50" s="2323"/>
      <c r="AP50" s="2323"/>
      <c r="AQ50" s="2323"/>
      <c r="AR50" s="2323"/>
      <c r="AS50" s="2323"/>
      <c r="AT50" s="2324"/>
      <c r="AU50" s="1392"/>
      <c r="AW50" s="507"/>
      <c r="AX50" s="507" t="str">
        <f>IF(T50="","",T50)</f>
        <v/>
      </c>
      <c r="AY50" s="507"/>
      <c r="AZ50" s="507"/>
      <c r="BA50" s="518">
        <v>1</v>
      </c>
    </row>
    <row customHeight="1" ht="22.049999999999997">
      <c r="A51" s="1370" t="s">
        <v>199</v>
      </c>
      <c r="B51" s="1370" t="s">
        <v>200</v>
      </c>
      <c r="C51" s="1370" t="s">
        <v>201</v>
      </c>
      <c r="D51" s="1370" t="s">
        <v>202</v>
      </c>
      <c r="E51" s="2285"/>
      <c r="F51" s="2285"/>
      <c r="G51" s="2285"/>
      <c r="H51" s="2285"/>
      <c r="I51" s="2312"/>
      <c r="J51" s="2312"/>
      <c r="K51" s="2282" t="str">
        <f>S48&amp;".1"</f>
        <v>....1</v>
      </c>
      <c r="L51" s="1371"/>
      <c r="P51" s="2283"/>
      <c r="Q51" s="2283"/>
      <c r="R51" s="364">
        <v>1</v>
      </c>
      <c r="S51" s="2367" t="str">
        <f>$K51</f>
        <v>....1</v>
      </c>
      <c r="T51" s="2370"/>
      <c r="U51" s="307"/>
      <c r="V51" s="758"/>
      <c r="W51" s="1264"/>
      <c r="X51" s="1740"/>
      <c r="Y51" s="1466" t="s">
        <v>65</v>
      </c>
      <c r="Z51" s="1740"/>
      <c r="AA51" s="1466" t="s">
        <v>65</v>
      </c>
      <c r="AB51" s="2133" t="s">
        <v>19</v>
      </c>
      <c r="AC51" s="2352"/>
      <c r="AD51" s="2231">
        <v>1</v>
      </c>
      <c r="AE51" s="2374" t="s">
        <v>22</v>
      </c>
      <c r="AF51" s="2133" t="s">
        <v>19</v>
      </c>
      <c r="AG51" s="2352"/>
      <c r="AH51" s="2231">
        <v>1</v>
      </c>
      <c r="AI51" s="2374" t="s">
        <v>22</v>
      </c>
      <c r="AJ51" s="2133" t="s">
        <v>19</v>
      </c>
      <c r="AK51" s="318"/>
      <c r="AL51" s="1344">
        <v>1</v>
      </c>
      <c r="AM51" s="1409"/>
      <c r="AN51" s="758"/>
      <c r="AO51" s="1264"/>
      <c r="AP51" s="1740"/>
      <c r="AQ51" s="1466" t="s">
        <v>65</v>
      </c>
      <c r="AR51" s="1740"/>
      <c r="AS51" s="1466" t="s">
        <v>65</v>
      </c>
      <c r="AT51" s="1355"/>
      <c r="AU51" s="2279" t="s">
        <v>475</v>
      </c>
      <c r="AV51" s="518">
        <f>STRCHECKDATE(V54:AT54)</f>
      </c>
      <c r="AW51" s="507"/>
      <c r="AX51" s="507" t="str">
        <f>IF(T51="","",T51)</f>
        <v/>
      </c>
      <c r="AY51" s="507"/>
      <c r="AZ51" s="507"/>
      <c r="BA51" s="1162">
        <v>21</v>
      </c>
    </row>
    <row customHeight="1" ht="11.549999999999999">
      <c r="A52" s="1370" t="s">
        <v>199</v>
      </c>
      <c r="B52" s="1370"/>
      <c r="C52" s="1370"/>
      <c r="D52" s="1370"/>
      <c r="E52" s="2285"/>
      <c r="F52" s="2285"/>
      <c r="G52" s="2285"/>
      <c r="H52" s="2285"/>
      <c r="I52" s="2312"/>
      <c r="J52" s="2312"/>
      <c r="K52" s="2282"/>
      <c r="L52" s="1371"/>
      <c r="P52" s="2283"/>
      <c r="Q52" s="2283"/>
      <c r="R52" s="364"/>
      <c r="S52" s="2368"/>
      <c r="T52" s="2371"/>
      <c r="U52" s="307"/>
      <c r="V52" s="1400"/>
      <c r="W52" s="1503"/>
      <c r="X52" s="1400"/>
      <c r="Y52" s="1400"/>
      <c r="Z52" s="1400"/>
      <c r="AA52" s="1400"/>
      <c r="AB52" s="2133"/>
      <c r="AC52" s="2352"/>
      <c r="AD52" s="2231"/>
      <c r="AE52" s="2374"/>
      <c r="AF52" s="2133"/>
      <c r="AG52" s="2352"/>
      <c r="AH52" s="2231"/>
      <c r="AI52" s="2374"/>
      <c r="AJ52" s="2133"/>
      <c r="AK52" s="323"/>
      <c r="AL52" s="423"/>
      <c r="AM52" s="422" t="s">
        <v>460</v>
      </c>
      <c r="AN52" s="1400"/>
      <c r="AO52" s="1503"/>
      <c r="AP52" s="1400"/>
      <c r="AQ52" s="1400"/>
      <c r="AR52" s="1400"/>
      <c r="AS52" s="1400"/>
      <c r="AT52" s="1397"/>
      <c r="AU52" s="2280"/>
      <c r="AW52" s="507"/>
      <c r="AX52" s="507"/>
      <c r="AY52" s="507"/>
      <c r="AZ52" s="507"/>
      <c r="BA52" s="1162">
        <v>11</v>
      </c>
    </row>
    <row customHeight="1" ht="11.549999999999999">
      <c r="A53" s="1370" t="s">
        <v>199</v>
      </c>
      <c r="B53" s="1370"/>
      <c r="C53" s="1370"/>
      <c r="D53" s="1370"/>
      <c r="E53" s="2285"/>
      <c r="F53" s="2285"/>
      <c r="G53" s="2285"/>
      <c r="H53" s="2285"/>
      <c r="I53" s="2312"/>
      <c r="J53" s="2312"/>
      <c r="K53" s="2282"/>
      <c r="L53" s="1371"/>
      <c r="P53" s="2283"/>
      <c r="Q53" s="2283"/>
      <c r="R53" s="364"/>
      <c r="S53" s="2368"/>
      <c r="T53" s="2371"/>
      <c r="U53" s="307"/>
      <c r="V53" s="1400"/>
      <c r="W53" s="1503"/>
      <c r="X53" s="1400"/>
      <c r="Y53" s="1400"/>
      <c r="Z53" s="1400"/>
      <c r="AA53" s="1400"/>
      <c r="AB53" s="2133"/>
      <c r="AC53" s="2352"/>
      <c r="AD53" s="2231"/>
      <c r="AE53" s="2374"/>
      <c r="AF53" s="2133"/>
      <c r="AG53" s="301"/>
      <c r="AH53" s="422"/>
      <c r="AI53" s="422" t="s">
        <v>461</v>
      </c>
      <c r="AJ53" s="1400"/>
      <c r="AK53" s="1400"/>
      <c r="AL53" s="1400"/>
      <c r="AM53" s="1400"/>
      <c r="AN53" s="1400"/>
      <c r="AO53" s="1503"/>
      <c r="AP53" s="1400"/>
      <c r="AQ53" s="1400"/>
      <c r="AR53" s="1400"/>
      <c r="AS53" s="1400"/>
      <c r="AT53" s="1397"/>
      <c r="AU53" s="2280"/>
      <c r="AW53" s="507"/>
      <c r="AX53" s="507"/>
      <c r="AY53" s="507"/>
      <c r="AZ53" s="507"/>
      <c r="BA53" s="1162">
        <v>11</v>
      </c>
    </row>
    <row customHeight="1" ht="11.549999999999999">
      <c r="A54" s="1370" t="s">
        <v>199</v>
      </c>
      <c r="B54" s="1370" t="s">
        <v>200</v>
      </c>
      <c r="C54" s="1370" t="s">
        <v>201</v>
      </c>
      <c r="D54" s="1370" t="s">
        <v>202</v>
      </c>
      <c r="E54" s="2285"/>
      <c r="F54" s="2285"/>
      <c r="G54" s="2285"/>
      <c r="H54" s="2285"/>
      <c r="I54" s="2312"/>
      <c r="J54" s="2312"/>
      <c r="K54" s="2282"/>
      <c r="L54" s="1371"/>
      <c r="P54" s="2283"/>
      <c r="Q54" s="2283"/>
      <c r="R54" s="364"/>
      <c r="S54" s="2369"/>
      <c r="T54" s="2372"/>
      <c r="U54" s="307"/>
      <c r="V54" s="1400"/>
      <c r="W54" s="1401" t="str">
        <f>X51&amp;"-"&amp;Z51</f>
        <v>-</v>
      </c>
      <c r="X54" s="1400"/>
      <c r="Y54" s="1400"/>
      <c r="Z54" s="1400"/>
      <c r="AA54" s="1400"/>
      <c r="AB54" s="2133"/>
      <c r="AC54" s="319"/>
      <c r="AD54" s="321"/>
      <c r="AE54" s="422" t="s">
        <v>462</v>
      </c>
      <c r="AF54" s="1400"/>
      <c r="AG54" s="1400"/>
      <c r="AH54" s="1400"/>
      <c r="AI54" s="1400"/>
      <c r="AJ54" s="1400"/>
      <c r="AK54" s="1400"/>
      <c r="AL54" s="1400"/>
      <c r="AM54" s="1400"/>
      <c r="AN54" s="1400"/>
      <c r="AO54" s="1401" t="str">
        <f>AP51&amp;"-"&amp;AR51</f>
        <v>-</v>
      </c>
      <c r="AP54" s="1400"/>
      <c r="AQ54" s="1400"/>
      <c r="AR54" s="1400"/>
      <c r="AS54" s="1400"/>
      <c r="AT54" s="1356"/>
      <c r="AU54" s="2280"/>
      <c r="AW54" s="507"/>
      <c r="AX54" s="507" t="str">
        <f>IF(T54="","",T54)</f>
        <v/>
      </c>
      <c r="AY54" s="507"/>
      <c r="AZ54" s="507"/>
      <c r="BA54" s="1162">
        <v>11</v>
      </c>
    </row>
    <row customHeight="1" ht="11.549999999999999">
      <c r="A55" s="1370" t="s">
        <v>199</v>
      </c>
      <c r="B55" s="1370" t="s">
        <v>200</v>
      </c>
      <c r="C55" s="1370" t="s">
        <v>201</v>
      </c>
      <c r="D55" s="1370" t="s">
        <v>202</v>
      </c>
      <c r="E55" s="2285"/>
      <c r="F55" s="2285"/>
      <c r="G55" s="2285"/>
      <c r="H55" s="2285"/>
      <c r="I55" s="2312"/>
      <c r="J55" s="2282"/>
      <c r="K55" s="1370"/>
      <c r="L55" s="1371"/>
      <c r="P55" s="2283"/>
      <c r="Q55" s="2283"/>
      <c r="R55" s="363"/>
      <c r="S55" s="1285"/>
      <c r="T55" s="294" t="s">
        <v>463</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81"/>
      <c r="AW55" s="507"/>
      <c r="AX55" s="507" t="str">
        <f>IF(T55="","",T55)</f>
        <v>Добавить строку</v>
      </c>
      <c r="AY55" s="507"/>
      <c r="AZ55" s="507"/>
      <c r="BA55" s="1162">
        <v>11</v>
      </c>
    </row>
    <row s="1649" customFormat="1" customHeight="1" ht="1.05">
      <c r="A56" s="1350" t="s">
        <v>199</v>
      </c>
      <c r="B56" s="1350" t="s">
        <v>200</v>
      </c>
      <c r="C56" s="1350" t="s">
        <v>201</v>
      </c>
      <c r="D56" s="1350" t="s">
        <v>202</v>
      </c>
      <c r="E56" s="2285"/>
      <c r="F56" s="2285"/>
      <c r="G56" s="2285"/>
      <c r="H56" s="2285"/>
      <c r="I56" s="2282"/>
      <c r="J56" s="1350"/>
      <c r="K56" s="1350"/>
      <c r="L56" s="1353"/>
      <c r="M56" s="517"/>
      <c r="N56" s="517"/>
      <c r="O56" s="517"/>
      <c r="P56" s="2283"/>
      <c r="Q56" s="1338"/>
      <c r="R56" s="363"/>
      <c r="S56" s="1393"/>
      <c r="T56" s="1394" t="s">
        <v>411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85"/>
      <c r="F57" s="2285"/>
      <c r="G57" s="2285"/>
      <c r="H57" s="2284"/>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85"/>
      <c r="F58" s="2285"/>
      <c r="G58" s="2284"/>
      <c r="H58" s="1321"/>
      <c r="I58" s="1321"/>
      <c r="J58" s="1321"/>
      <c r="K58" s="1321"/>
      <c r="L58" s="1346"/>
      <c r="M58" s="1322"/>
      <c r="N58" s="1322"/>
      <c r="P58" s="1323"/>
      <c r="Q58" s="1324"/>
      <c r="R58" s="1323"/>
      <c r="S58" s="1329"/>
      <c r="T58" s="1332" t="s">
        <v>413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85"/>
      <c r="F59" s="2284"/>
      <c r="G59" s="1321"/>
      <c r="H59" s="1321"/>
      <c r="I59" s="1321"/>
      <c r="J59" s="1321"/>
      <c r="K59" s="1321"/>
      <c r="L59" s="1346"/>
      <c r="M59" s="1328"/>
      <c r="N59" s="1328"/>
      <c r="P59" s="1323"/>
      <c r="Q59" s="1324"/>
      <c r="R59" s="1323"/>
      <c r="S59" s="1329"/>
      <c r="T59" s="1332" t="s">
        <v>414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85"/>
      <c r="F60" s="1350"/>
      <c r="G60" s="1350"/>
      <c r="H60" s="1350"/>
      <c r="I60" s="1350"/>
      <c r="J60" s="1350"/>
      <c r="K60" s="1350"/>
      <c r="L60" s="1353"/>
      <c r="M60" s="1328"/>
      <c r="N60" s="1328"/>
      <c r="O60" s="525"/>
      <c r="P60" s="387"/>
      <c r="Q60" s="1351"/>
      <c r="R60" s="387"/>
      <c r="S60" s="1329"/>
      <c r="T60" s="1332" t="s">
        <v>415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84"/>
      <c r="F61" s="1350"/>
      <c r="G61" s="1350"/>
      <c r="H61" s="1350"/>
      <c r="I61" s="1350"/>
      <c r="J61" s="1350"/>
      <c r="K61" s="1350"/>
      <c r="L61" s="1353"/>
      <c r="M61" s="1328"/>
      <c r="N61" s="1328"/>
      <c r="O61" s="525"/>
      <c r="P61" s="387"/>
      <c r="Q61" s="1351"/>
      <c r="R61" s="387"/>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443</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c r="BA64" s="1162">
        <v>19</v>
      </c>
    </row>
    <row customHeight="1" ht="21">
      <c r="O65" s="544"/>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BA67" s="1162">
        <v>19</v>
      </c>
    </row>
    <row customHeight="1" ht="16.8">
      <c r="O68" s="544"/>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A3034-5CBE-960E-44F6-325F3D1C87D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51" width="10.140625" hidden="1" customWidth="1"/>
    <col min="13" max="15" style="2423" width="10.14062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15">
        <v>1</v>
      </c>
      <c r="F2" s="1274"/>
      <c r="G2" s="1274"/>
      <c r="H2" s="1274"/>
      <c r="I2" s="1274"/>
      <c r="J2" s="1274"/>
      <c r="K2" s="1274"/>
      <c r="L2" s="1317"/>
      <c r="M2" s="1617"/>
      <c r="N2" s="1617"/>
      <c r="O2" s="1617"/>
      <c r="P2" s="1416"/>
      <c r="Q2" s="880"/>
      <c r="R2" s="362"/>
      <c r="S2" s="1962">
        <f>INDEX(PT_DIFFERENTIATION_NUM_NTAR,MATCH(A2,PT_DIFFERENTIATION_NTAR_ID,0))</f>
      </c>
      <c r="T2" s="1532" t="s">
        <v>124</v>
      </c>
      <c r="U2" s="307"/>
      <c r="V2" s="2269"/>
      <c r="W2" s="2269"/>
      <c r="X2" s="2269"/>
      <c r="Y2" s="2269"/>
      <c r="Z2" s="2269"/>
      <c r="AA2" s="2270"/>
      <c r="AB2" s="1956"/>
      <c r="AC2" s="2269">
        <f>INDEX(PT_DIFFERENTIATION_NTAR,MATCH(A2,PT_DIFFERENTIATION_NTAR_ID,0))</f>
      </c>
      <c r="AD2" s="2269"/>
      <c r="AE2" s="2269"/>
      <c r="AF2" s="2269"/>
      <c r="AG2" s="2269"/>
      <c r="AH2" s="2269"/>
      <c r="AI2" s="2269"/>
      <c r="AJ2" s="2270"/>
      <c r="AK2" s="1265" t="s">
        <v>395</v>
      </c>
      <c r="AM2" s="1631"/>
      <c r="AN2" s="1631" t="str">
        <f>IF(T2="","",T2)</f>
        <v>Наименование тарифа</v>
      </c>
      <c r="AO2" s="1631"/>
      <c r="AP2" s="1631"/>
      <c r="AQ2" s="1638">
        <v>0</v>
      </c>
    </row>
    <row customHeight="1" ht="21" hidden="1">
      <c r="A3" s="1274"/>
      <c r="B3" s="1274"/>
      <c r="C3" s="1274"/>
      <c r="D3" s="1274"/>
      <c r="E3" s="2316"/>
      <c r="F3" s="2315">
        <v>1</v>
      </c>
      <c r="G3" s="1274"/>
      <c r="H3" s="1274"/>
      <c r="I3" s="1274"/>
      <c r="J3" s="1274"/>
      <c r="K3" s="1274"/>
      <c r="L3" s="1317"/>
      <c r="M3" s="1617"/>
      <c r="N3" s="1617"/>
      <c r="O3" s="1617"/>
      <c r="P3" s="1973"/>
      <c r="Q3" s="1418"/>
      <c r="R3" s="360"/>
      <c r="S3" s="1962">
        <f>INDEX(PT_DIFFERENTIATION_NUM_TER,MATCH(B3,PT_DIFFERENTIATION_TER_ID,0))</f>
      </c>
      <c r="T3" s="1529" t="s">
        <v>396</v>
      </c>
      <c r="U3" s="307"/>
      <c r="V3" s="2269"/>
      <c r="W3" s="2269"/>
      <c r="X3" s="2269"/>
      <c r="Y3" s="2269"/>
      <c r="Z3" s="2269"/>
      <c r="AA3" s="2270"/>
      <c r="AB3" s="1956"/>
      <c r="AC3" s="2269">
        <f>INDEX(PT_DIFFERENTIATION_TER,MATCH(B3,PT_DIFFERENTIATION_TER_ID,0))</f>
      </c>
      <c r="AD3" s="2269"/>
      <c r="AE3" s="2269"/>
      <c r="AF3" s="2269"/>
      <c r="AG3" s="2269"/>
      <c r="AH3" s="2269"/>
      <c r="AI3" s="2269"/>
      <c r="AJ3" s="2270"/>
      <c r="AK3" s="1265" t="s">
        <v>397</v>
      </c>
      <c r="AM3" s="1631"/>
      <c r="AN3" s="1631" t="str">
        <f>IF(T3="","",T3)</f>
        <v>Территория действия тарифа</v>
      </c>
      <c r="AO3" s="1631"/>
      <c r="AP3" s="1631"/>
      <c r="AQ3" s="1638">
        <v>0</v>
      </c>
    </row>
    <row customHeight="1" ht="22.5" hidden="1">
      <c r="A4" s="1274"/>
      <c r="B4" s="1274"/>
      <c r="C4" s="1274"/>
      <c r="D4" s="1274"/>
      <c r="E4" s="2316"/>
      <c r="F4" s="2316"/>
      <c r="G4" s="2315">
        <v>1</v>
      </c>
      <c r="H4" s="1274"/>
      <c r="I4" s="1274"/>
      <c r="J4" s="1274"/>
      <c r="K4" s="1274"/>
      <c r="L4" s="1317"/>
      <c r="M4" s="1617"/>
      <c r="N4" s="1617"/>
      <c r="O4" s="1617"/>
      <c r="P4" s="1419"/>
      <c r="Q4" s="1418"/>
      <c r="R4" s="360"/>
      <c r="S4" s="1962">
        <f>INDEX(PT_DIFFERENTIATION_NUM_CS,MATCH(C4,PT_DIFFERENTIATION_CS_ID,0))</f>
      </c>
      <c r="T4" s="316" t="s">
        <v>398</v>
      </c>
      <c r="U4" s="307"/>
      <c r="V4" s="2269"/>
      <c r="W4" s="2269"/>
      <c r="X4" s="2269"/>
      <c r="Y4" s="2269"/>
      <c r="Z4" s="2269"/>
      <c r="AA4" s="2270"/>
      <c r="AB4" s="1956"/>
      <c r="AC4" s="2269">
        <f>INDEX(PT_DIFFERENTIATION_CS,MATCH(C4,PT_DIFFERENTIATION_CS_ID,0))</f>
      </c>
      <c r="AD4" s="2269"/>
      <c r="AE4" s="2269"/>
      <c r="AF4" s="2269"/>
      <c r="AG4" s="2269"/>
      <c r="AH4" s="2269"/>
      <c r="AI4" s="2269"/>
      <c r="AJ4" s="2270"/>
      <c r="AK4" s="1265" t="s">
        <v>399</v>
      </c>
      <c r="AM4" s="1631"/>
      <c r="AN4" s="1631" t="str">
        <f>IF(T4="","",T4)</f>
        <v>Наименование системы теплоснабжения </v>
      </c>
      <c r="AO4" s="1631"/>
      <c r="AP4" s="1631"/>
      <c r="AQ4" s="1638">
        <v>0</v>
      </c>
    </row>
    <row customHeight="1" ht="21" hidden="1">
      <c r="A5" s="1274"/>
      <c r="B5" s="1274"/>
      <c r="C5" s="1274"/>
      <c r="D5" s="1274"/>
      <c r="E5" s="2316"/>
      <c r="F5" s="2316"/>
      <c r="G5" s="2316"/>
      <c r="H5" s="2315">
        <v>1</v>
      </c>
      <c r="I5" s="1274"/>
      <c r="J5" s="1274"/>
      <c r="K5" s="1274"/>
      <c r="L5" s="1317"/>
      <c r="M5" s="1617"/>
      <c r="N5" s="1617"/>
      <c r="O5" s="1617"/>
      <c r="P5" s="1419"/>
      <c r="Q5" s="1418"/>
      <c r="R5" s="360"/>
      <c r="S5" s="1962">
        <f>INDEX(PT_DIFFERENTIATION_NUM_IST_TE,MATCH(D5,PT_DIFFERENTIATION_IST_TE_ID,0))</f>
      </c>
      <c r="T5" s="317" t="s">
        <v>400</v>
      </c>
      <c r="U5" s="307"/>
      <c r="V5" s="2269"/>
      <c r="W5" s="2269"/>
      <c r="X5" s="2269"/>
      <c r="Y5" s="2269"/>
      <c r="Z5" s="2269"/>
      <c r="AA5" s="2270"/>
      <c r="AB5" s="1956"/>
      <c r="AC5" s="2269">
        <f>INDEX(PT_DIFFERENTIATION_IST_TE,MATCH(D5,PT_DIFFERENTIATION_IST_TE_ID,0))</f>
      </c>
      <c r="AD5" s="2269"/>
      <c r="AE5" s="2269"/>
      <c r="AF5" s="2269"/>
      <c r="AG5" s="2269"/>
      <c r="AH5" s="2269"/>
      <c r="AI5" s="2269"/>
      <c r="AJ5" s="2270"/>
      <c r="AK5" s="1265" t="s">
        <v>401</v>
      </c>
      <c r="AM5" s="1631"/>
      <c r="AN5" s="1631" t="str">
        <f>IF(T5="","",T5)</f>
        <v>Источник тепловой энергии  </v>
      </c>
      <c r="AO5" s="1631"/>
      <c r="AP5" s="1631"/>
      <c r="AQ5" s="1638">
        <v>0</v>
      </c>
    </row>
    <row s="1649" customFormat="1" customHeight="1" ht="0.75" hidden="1">
      <c r="A6" s="1382"/>
      <c r="B6" s="1382"/>
      <c r="C6" s="1382"/>
      <c r="D6" s="1382"/>
      <c r="E6" s="2316"/>
      <c r="F6" s="2316"/>
      <c r="G6" s="2316"/>
      <c r="H6" s="2316"/>
      <c r="I6" s="2153">
        <f>S5&amp;".1"</f>
      </c>
      <c r="J6" s="1382"/>
      <c r="K6" s="1382"/>
      <c r="L6" s="1388" t="s">
        <v>402</v>
      </c>
      <c r="M6" s="1253"/>
      <c r="N6" s="1253"/>
      <c r="O6" s="1253"/>
      <c r="P6" s="2283">
        <v>1</v>
      </c>
      <c r="Q6" s="1958"/>
      <c r="R6" s="363"/>
      <c r="S6" s="1049"/>
      <c r="T6" s="1390"/>
      <c r="U6" s="1391"/>
      <c r="V6" s="2323"/>
      <c r="W6" s="2323"/>
      <c r="X6" s="2323"/>
      <c r="Y6" s="2323"/>
      <c r="Z6" s="2323"/>
      <c r="AA6" s="2324"/>
      <c r="AB6" s="1964"/>
      <c r="AC6" s="2323"/>
      <c r="AD6" s="2323"/>
      <c r="AE6" s="2323"/>
      <c r="AF6" s="2323"/>
      <c r="AG6" s="2323"/>
      <c r="AH6" s="2323"/>
      <c r="AI6" s="2323"/>
      <c r="AJ6" s="2324"/>
      <c r="AK6" s="1392"/>
      <c r="AM6" s="1631"/>
      <c r="AN6" s="1631" t="str">
        <f>IF(T6="","",T6)</f>
        <v/>
      </c>
      <c r="AO6" s="1631"/>
      <c r="AP6" s="1631"/>
      <c r="AQ6" s="1643">
        <v>0</v>
      </c>
    </row>
    <row s="1649" customFormat="1" customHeight="1" ht="0.75" hidden="1">
      <c r="A7" s="1382"/>
      <c r="B7" s="1382"/>
      <c r="C7" s="1382"/>
      <c r="D7" s="1382"/>
      <c r="E7" s="2316"/>
      <c r="F7" s="2316"/>
      <c r="G7" s="2316"/>
      <c r="H7" s="2316"/>
      <c r="I7" s="2127"/>
      <c r="J7" s="2153">
        <f>S5&amp;".1"</f>
      </c>
      <c r="K7" s="1382"/>
      <c r="L7" s="1388"/>
      <c r="M7" s="1253"/>
      <c r="N7" s="1253"/>
      <c r="O7" s="1253"/>
      <c r="P7" s="2283"/>
      <c r="Q7" s="2283">
        <v>1</v>
      </c>
      <c r="R7" s="364"/>
      <c r="S7" s="1049"/>
      <c r="T7" s="1406"/>
      <c r="U7" s="1391"/>
      <c r="V7" s="2323"/>
      <c r="W7" s="2323"/>
      <c r="X7" s="2323"/>
      <c r="Y7" s="2323"/>
      <c r="Z7" s="2323"/>
      <c r="AA7" s="2324"/>
      <c r="AB7" s="1964"/>
      <c r="AC7" s="2323"/>
      <c r="AD7" s="2323"/>
      <c r="AE7" s="2323"/>
      <c r="AF7" s="2323"/>
      <c r="AG7" s="2323"/>
      <c r="AH7" s="2323"/>
      <c r="AI7" s="2323"/>
      <c r="AJ7" s="2324"/>
      <c r="AK7" s="1392"/>
      <c r="AM7" s="1631"/>
      <c r="AN7" s="1631" t="str">
        <f>IF(T7="","",T7)</f>
        <v/>
      </c>
      <c r="AO7" s="1631"/>
      <c r="AP7" s="1631"/>
      <c r="AQ7" s="1643">
        <v>0</v>
      </c>
    </row>
    <row customHeight="1" ht="21" hidden="1">
      <c r="A8" s="1274"/>
      <c r="B8" s="1274"/>
      <c r="C8" s="1274"/>
      <c r="D8" s="1274"/>
      <c r="E8" s="2316"/>
      <c r="F8" s="2316"/>
      <c r="G8" s="2316"/>
      <c r="H8" s="2316"/>
      <c r="I8" s="2127"/>
      <c r="J8" s="2127"/>
      <c r="K8" s="1995">
        <f>S5&amp;".1"</f>
      </c>
      <c r="L8" s="1317"/>
      <c r="P8" s="2283"/>
      <c r="Q8" s="2283"/>
      <c r="R8" s="1999">
        <v>1</v>
      </c>
      <c r="S8" s="1997">
        <f>$K8</f>
      </c>
      <c r="T8" s="1998"/>
      <c r="U8" s="307"/>
      <c r="V8" s="758"/>
      <c r="W8" s="1264"/>
      <c r="X8" s="1996"/>
      <c r="Y8" s="1994" t="s">
        <v>65</v>
      </c>
      <c r="Z8" s="1996"/>
      <c r="AA8" s="1994" t="s">
        <v>65</v>
      </c>
      <c r="AB8" s="2000"/>
      <c r="AC8" s="2001" t="s">
        <v>22</v>
      </c>
      <c r="AD8" s="758"/>
      <c r="AE8" s="1264"/>
      <c r="AF8" s="1959"/>
      <c r="AG8" s="1946" t="s">
        <v>65</v>
      </c>
      <c r="AH8" s="1959"/>
      <c r="AI8" s="1946" t="s">
        <v>65</v>
      </c>
      <c r="AJ8" s="1355"/>
      <c r="AK8" s="2279" t="s">
        <v>459</v>
      </c>
      <c r="AL8" s="1643">
        <f>STRCHECKDATE(#REF!)</f>
      </c>
      <c r="AM8" s="1631"/>
      <c r="AN8" s="1631" t="str">
        <f>IF(T8="","",T8)</f>
        <v/>
      </c>
      <c r="AO8" s="1631"/>
      <c r="AP8" s="1631"/>
      <c r="AQ8" s="1638">
        <v>0</v>
      </c>
    </row>
    <row customHeight="1" ht="11.25" hidden="1">
      <c r="A9" s="1274"/>
      <c r="B9" s="1274"/>
      <c r="C9" s="1274"/>
      <c r="D9" s="1274"/>
      <c r="E9" s="2316"/>
      <c r="F9" s="2316"/>
      <c r="G9" s="2316"/>
      <c r="H9" s="2316"/>
      <c r="I9" s="2127"/>
      <c r="J9" s="2153"/>
      <c r="K9" s="1274"/>
      <c r="L9" s="1317"/>
      <c r="P9" s="2283"/>
      <c r="Q9" s="2283"/>
      <c r="R9" s="363"/>
      <c r="S9" s="1285"/>
      <c r="T9" s="294" t="s">
        <v>463</v>
      </c>
      <c r="U9" s="607"/>
      <c r="V9" s="607"/>
      <c r="W9" s="607"/>
      <c r="X9" s="607"/>
      <c r="Y9" s="607"/>
      <c r="Z9" s="607"/>
      <c r="AA9" s="607"/>
      <c r="AB9" s="607"/>
      <c r="AC9" s="607"/>
      <c r="AD9" s="607"/>
      <c r="AE9" s="607"/>
      <c r="AF9" s="607"/>
      <c r="AG9" s="607"/>
      <c r="AH9" s="607"/>
      <c r="AI9" s="607"/>
      <c r="AJ9" s="331"/>
      <c r="AK9" s="2281"/>
      <c r="AM9" s="1631"/>
      <c r="AN9" s="1631" t="str">
        <f>IF(T9="","",T9)</f>
        <v>Добавить строку</v>
      </c>
      <c r="AO9" s="1631"/>
      <c r="AP9" s="1631"/>
      <c r="AQ9" s="1638">
        <v>0</v>
      </c>
    </row>
    <row s="1649" customFormat="1" customHeight="1" ht="0.75" hidden="1">
      <c r="A10" s="1382"/>
      <c r="B10" s="1382"/>
      <c r="C10" s="1382"/>
      <c r="D10" s="1382"/>
      <c r="E10" s="2316"/>
      <c r="F10" s="2316"/>
      <c r="G10" s="2316"/>
      <c r="H10" s="2316"/>
      <c r="I10" s="2153"/>
      <c r="J10" s="1382"/>
      <c r="K10" s="1382"/>
      <c r="L10" s="1388"/>
      <c r="M10" s="1253"/>
      <c r="N10" s="1253"/>
      <c r="O10" s="1253"/>
      <c r="P10" s="2283"/>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6"/>
      <c r="F11" s="2316"/>
      <c r="G11" s="2316"/>
      <c r="H11" s="2315"/>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6"/>
      <c r="F12" s="2316"/>
      <c r="G12" s="2315"/>
      <c r="H12" s="1381"/>
      <c r="I12" s="1381"/>
      <c r="J12" s="1381"/>
      <c r="K12" s="1381"/>
      <c r="L12" s="1384"/>
      <c r="M12" s="1385"/>
      <c r="N12" s="1385"/>
      <c r="O12" s="35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6"/>
      <c r="F13" s="2315"/>
      <c r="G13" s="1381"/>
      <c r="H13" s="1381"/>
      <c r="I13" s="1381"/>
      <c r="J13" s="1381"/>
      <c r="K13" s="1381"/>
      <c r="L13" s="1384"/>
      <c r="M13" s="1386"/>
      <c r="N13" s="1386"/>
      <c r="O13" s="358"/>
      <c r="P13" s="1323"/>
      <c r="Q13" s="1324"/>
      <c r="R13" s="1323"/>
      <c r="S13" s="1329"/>
      <c r="T13" s="1332" t="s">
        <v>414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15"/>
      <c r="F14" s="1382"/>
      <c r="G14" s="1382"/>
      <c r="H14" s="1382"/>
      <c r="I14" s="1382"/>
      <c r="J14" s="1382"/>
      <c r="K14" s="1382"/>
      <c r="L14" s="1388"/>
      <c r="M14" s="1386"/>
      <c r="N14" s="1386"/>
      <c r="O14" s="358"/>
      <c r="P14" s="387"/>
      <c r="Q14" s="1351"/>
      <c r="R14" s="387"/>
      <c r="S14" s="1329"/>
      <c r="T14" s="1332" t="s">
        <v>415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65</v>
      </c>
      <c r="AH16" s="1742"/>
      <c r="AI16" s="1970" t="s">
        <v>65</v>
      </c>
      <c r="AQ16" s="1638">
        <v>0</v>
      </c>
    </row>
    <row customHeight="1" ht="14.25" hidden="1">
      <c r="AL17" s="1648"/>
      <c r="AM17" s="1648"/>
      <c r="AN17" s="1648"/>
      <c r="AO17" s="1648"/>
      <c r="AP17" s="1648"/>
      <c r="AQ17" s="1638">
        <v>0</v>
      </c>
    </row>
    <row customHeight="1" ht="14.25" hidden="1">
      <c r="O18" s="1352" t="s">
        <v>416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417</v>
      </c>
      <c r="P20" s="1515"/>
      <c r="Q20" s="1517"/>
      <c r="R20" s="1517"/>
      <c r="Y20" s="1514" t="s">
        <v>419</v>
      </c>
      <c r="AA20" s="1514" t="s">
        <v>420</v>
      </c>
      <c r="AC20" s="1514" t="s">
        <v>465</v>
      </c>
      <c r="AG20" s="1514" t="s">
        <v>419</v>
      </c>
      <c r="AI20" s="1514" t="s">
        <v>420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4"/>
      <c r="U24" s="2274"/>
      <c r="V24" s="2274"/>
      <c r="W24" s="2274"/>
      <c r="X24" s="2274"/>
      <c r="Y24" s="2274"/>
      <c r="Z24" s="2274"/>
      <c r="AA24" s="2274"/>
      <c r="AB24" s="2274"/>
      <c r="AC24" s="2274"/>
      <c r="AD24" s="2274"/>
      <c r="AE24" s="2274"/>
      <c r="AF24" s="2274"/>
      <c r="AG24" s="2274"/>
      <c r="AH24" s="2274"/>
      <c r="AI24" s="1250"/>
      <c r="AQ24" s="1638">
        <v>38</v>
      </c>
    </row>
    <row customHeight="1" ht="14.699999999999998">
      <c r="Q25" s="298"/>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6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7"/>
      <c r="U27" s="1379"/>
      <c r="V27" s="2277" t="str">
        <f>IF(TITLE_NAME_OR_PR_CHANGE="",IF(TITLE_NAME_OR_PR="","",TITLE_NAME_OR_PR),TITLE_NAME_OR_PR_CHANGE)</f>
        <v/>
      </c>
      <c r="W27" s="2277"/>
      <c r="X27" s="2277"/>
      <c r="Y27" s="2277"/>
      <c r="Z27" s="2277"/>
      <c r="AA27" s="1642"/>
      <c r="AB27" s="1642"/>
      <c r="AC27" s="2277"/>
      <c r="AD27" s="2277"/>
      <c r="AE27" s="2277"/>
      <c r="AF27" s="2277"/>
      <c r="AG27" s="2277"/>
      <c r="AH27" s="2277"/>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636" t="str">
        <f>"Дата документа об "&amp;IF(TITLE_DATE_PR_CHANGE="","утверждении","изменении")&amp;" тарифов"</f>
        <v>Дата документа об утверждении тарифов</v>
      </c>
      <c r="T28" s="2637"/>
      <c r="U28" s="1379"/>
      <c r="V28" s="2290" t="str">
        <f>IF(TITLE_DATE_PR_CHANGE="",IF(TITLE_DATE_PR="","",TITLE_DATE_PR),TITLE_DATE_PR_CHANGE)</f>
        <v/>
      </c>
      <c r="W28" s="2290"/>
      <c r="X28" s="2290"/>
      <c r="Y28" s="2290"/>
      <c r="Z28" s="2290"/>
      <c r="AA28" s="1642"/>
      <c r="AB28" s="1642"/>
      <c r="AC28" s="2290"/>
      <c r="AD28" s="2290"/>
      <c r="AE28" s="2290"/>
      <c r="AF28" s="2290"/>
      <c r="AG28" s="2290"/>
      <c r="AH28" s="2290"/>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636" t="str">
        <f>"Номер документа об "&amp;IF(TITLE_DATE_PR_CHANGE="","утверждении","изменении")&amp;" тарифов"</f>
        <v>Номер документа об утверждении тарифов</v>
      </c>
      <c r="T29" s="2637"/>
      <c r="U29" s="1379"/>
      <c r="V29" s="2277" t="str">
        <f>IF(TITLE_NUMBER_PR_CHANGE="",IF(TITLE_NUMBER_PR="","",TITLE_NUMBER_PR),TITLE_NUMBER_PR_CHANGE)</f>
        <v/>
      </c>
      <c r="W29" s="2277"/>
      <c r="X29" s="2277"/>
      <c r="Y29" s="2277"/>
      <c r="Z29" s="2277"/>
      <c r="AA29" s="1642"/>
      <c r="AB29" s="1642"/>
      <c r="AC29" s="2277"/>
      <c r="AD29" s="2277"/>
      <c r="AE29" s="2277"/>
      <c r="AF29" s="2277"/>
      <c r="AG29" s="2277"/>
      <c r="AH29" s="2277"/>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636" t="s">
        <v>43</v>
      </c>
      <c r="T30" s="2637"/>
      <c r="U30" s="1379"/>
      <c r="V30" s="2277" t="str">
        <f>IF(TITLE_IST_PUB_CHANGE="",IF(TITLE_IST_PUB="","",TITLE_IST_PUB),TITLE_IST_PUB_CHANGE)</f>
        <v/>
      </c>
      <c r="W30" s="2277"/>
      <c r="X30" s="2277"/>
      <c r="Y30" s="2277"/>
      <c r="Z30" s="2277"/>
      <c r="AA30" s="1642"/>
      <c r="AB30" s="1642"/>
      <c r="AC30" s="2277"/>
      <c r="AD30" s="2277"/>
      <c r="AE30" s="2277"/>
      <c r="AF30" s="2277"/>
      <c r="AG30" s="2277"/>
      <c r="AH30" s="2277"/>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636" t="str">
        <f>"Дата подачи заявления об "&amp;IF(TITLE_DATE_PR_CHANGE="","утверждении","изменении")&amp;" тарифов"</f>
        <v>Дата подачи заявления об утверждении тарифов</v>
      </c>
      <c r="T32" s="2637"/>
      <c r="U32" s="1379"/>
      <c r="V32" s="2290" t="str">
        <f>IF(TITLE_DATE_PR_CHANGE="",IF(TITLE_DATE_PR="","",TITLE_DATE_PR),TITLE_DATE_PR_CHANGE)</f>
        <v/>
      </c>
      <c r="W32" s="2290"/>
      <c r="X32" s="2290"/>
      <c r="Y32" s="2290"/>
      <c r="Z32" s="2290"/>
      <c r="AA32" s="1642"/>
      <c r="AB32" s="1642"/>
      <c r="AC32" s="2290"/>
      <c r="AD32" s="2290"/>
      <c r="AE32" s="2290"/>
      <c r="AF32" s="2290"/>
      <c r="AG32" s="2290"/>
      <c r="AH32" s="2290"/>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636" t="str">
        <f>"Номер подачи заявления об "&amp;IF(TITLE_DATE_PR_CHANGE="","утверждении","изменении")&amp;" тарифов"</f>
        <v>Номер подачи заявления об утверждении тарифов</v>
      </c>
      <c r="T33" s="2637"/>
      <c r="U33" s="1379"/>
      <c r="V33" s="2277" t="str">
        <f>IF(TITLE_NUMBER_PR_CHANGE="",IF(TITLE_NUMBER_PR="","",TITLE_NUMBER_PR),TITLE_NUMBER_PR_CHANGE)</f>
        <v/>
      </c>
      <c r="W33" s="2277"/>
      <c r="X33" s="2277"/>
      <c r="Y33" s="2277"/>
      <c r="Z33" s="2277"/>
      <c r="AA33" s="1642"/>
      <c r="AB33" s="1642"/>
      <c r="AC33" s="2277"/>
      <c r="AD33" s="2277"/>
      <c r="AE33" s="2277"/>
      <c r="AF33" s="2277"/>
      <c r="AG33" s="2277"/>
      <c r="AH33" s="2277"/>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422</v>
      </c>
      <c r="AB34" s="1649"/>
      <c r="AC34" s="1642"/>
      <c r="AD34" s="1642"/>
      <c r="AE34" s="1642"/>
      <c r="AF34" s="1642"/>
      <c r="AG34" s="1642"/>
      <c r="AH34" s="1642"/>
      <c r="AI34" s="1649" t="s">
        <v>422</v>
      </c>
      <c r="AL34" s="375"/>
      <c r="AM34" s="375"/>
      <c r="AN34" s="375"/>
      <c r="AO34" s="375"/>
      <c r="AP34" s="375"/>
      <c r="AQ34" s="425">
        <v>1</v>
      </c>
    </row>
    <row customHeight="1" ht="14.699999999999998">
      <c r="Q35" s="298"/>
      <c r="R35" s="383"/>
      <c r="S35" s="1282"/>
      <c r="T35" s="464"/>
      <c r="U35" s="1251"/>
      <c r="V35" s="2278"/>
      <c r="W35" s="2278"/>
      <c r="X35" s="2278"/>
      <c r="Y35" s="2278"/>
      <c r="Z35" s="2278"/>
      <c r="AA35" s="2278"/>
      <c r="AB35" s="1961"/>
      <c r="AC35" s="2278"/>
      <c r="AD35" s="2278"/>
      <c r="AE35" s="2278"/>
      <c r="AF35" s="2278"/>
      <c r="AG35" s="2278"/>
      <c r="AH35" s="2278"/>
      <c r="AI35" s="2278"/>
      <c r="AQ35" s="1638">
        <v>14</v>
      </c>
    </row>
    <row customHeight="1" ht="14.699999999999998">
      <c r="Q36" s="298"/>
      <c r="R36" s="383"/>
      <c r="S36" s="2153" t="s">
        <v>299</v>
      </c>
      <c r="T36" s="2153"/>
      <c r="U36" s="2153"/>
      <c r="V36" s="2153"/>
      <c r="W36" s="2153"/>
      <c r="X36" s="2153"/>
      <c r="Y36" s="2153"/>
      <c r="Z36" s="2153"/>
      <c r="AA36" s="2201"/>
      <c r="AB36" s="2201"/>
      <c r="AC36" s="2201"/>
      <c r="AD36" s="2153"/>
      <c r="AE36" s="2153"/>
      <c r="AF36" s="2153"/>
      <c r="AG36" s="2153"/>
      <c r="AH36" s="2153"/>
      <c r="AI36" s="2153"/>
      <c r="AJ36" s="2153"/>
      <c r="AK36" s="2153" t="s">
        <v>300</v>
      </c>
      <c r="AQ36" s="1638">
        <v>14</v>
      </c>
    </row>
    <row customHeight="1" ht="14.699999999999998">
      <c r="Q37" s="298"/>
      <c r="R37" s="383"/>
      <c r="S37" s="2299" t="s">
        <v>88</v>
      </c>
      <c r="T37" s="2235" t="s">
        <v>476</v>
      </c>
      <c r="U37" s="344"/>
      <c r="V37" s="2301"/>
      <c r="W37" s="2301"/>
      <c r="X37" s="2301"/>
      <c r="Y37" s="2301"/>
      <c r="Z37" s="2301"/>
      <c r="AA37" s="2235" t="s">
        <v>425</v>
      </c>
      <c r="AB37" s="2234" t="s">
        <v>477</v>
      </c>
      <c r="AC37" s="2234" t="s">
        <v>469</v>
      </c>
      <c r="AD37" s="2317" t="s">
        <v>424</v>
      </c>
      <c r="AE37" s="2317"/>
      <c r="AF37" s="2301"/>
      <c r="AG37" s="2301"/>
      <c r="AH37" s="2302"/>
      <c r="AI37" s="2303" t="s">
        <v>425</v>
      </c>
      <c r="AJ37" s="2306" t="s">
        <v>427</v>
      </c>
      <c r="AK37" s="2153"/>
      <c r="AQ37" s="1638">
        <v>14</v>
      </c>
    </row>
    <row customHeight="1" ht="35.699999999999996">
      <c r="Q38" s="298"/>
      <c r="R38" s="383"/>
      <c r="S38" s="2299"/>
      <c r="T38" s="2235"/>
      <c r="U38" s="1038"/>
      <c r="V38" s="2129" t="s">
        <v>472</v>
      </c>
      <c r="W38" s="2153"/>
      <c r="X38" s="2320" t="s">
        <v>431</v>
      </c>
      <c r="Y38" s="2339"/>
      <c r="Z38" s="2339"/>
      <c r="AA38" s="2235"/>
      <c r="AB38" s="2234"/>
      <c r="AC38" s="2234"/>
      <c r="AD38" s="2129" t="s">
        <v>472</v>
      </c>
      <c r="AE38" s="2153"/>
      <c r="AF38" s="2339" t="s">
        <v>431</v>
      </c>
      <c r="AG38" s="2339"/>
      <c r="AH38" s="2340"/>
      <c r="AI38" s="2304"/>
      <c r="AJ38" s="2307"/>
      <c r="AK38" s="2153"/>
      <c r="AQ38" s="1638">
        <v>34</v>
      </c>
    </row>
    <row customHeight="1" ht="14.699999999999998">
      <c r="Q39" s="298"/>
      <c r="R39" s="383"/>
      <c r="S39" s="2299"/>
      <c r="T39" s="2235"/>
      <c r="U39" s="1038"/>
      <c r="V39" s="2366" t="str">
        <f>IF($AD$39&lt;&gt;"",$AD$39,"")</f>
        <v/>
      </c>
      <c r="W39" s="2366"/>
      <c r="X39" s="2321"/>
      <c r="Y39" s="2341"/>
      <c r="Z39" s="2341"/>
      <c r="AA39" s="2235"/>
      <c r="AB39" s="2234"/>
      <c r="AC39" s="2234"/>
      <c r="AD39" s="2382"/>
      <c r="AE39" s="2365"/>
      <c r="AF39" s="2341"/>
      <c r="AG39" s="2341"/>
      <c r="AH39" s="2342"/>
      <c r="AI39" s="2304"/>
      <c r="AJ39" s="2307"/>
      <c r="AK39" s="2153"/>
      <c r="AQ39" s="1638">
        <v>14</v>
      </c>
    </row>
    <row customHeight="1" ht="14.699999999999998">
      <c r="A40" s="1273"/>
      <c r="B40" s="1273" t="s">
        <v>136</v>
      </c>
      <c r="C40" s="1273" t="s">
        <v>137</v>
      </c>
      <c r="D40" s="1273" t="s">
        <v>138</v>
      </c>
      <c r="E40" s="1317" t="s">
        <v>432</v>
      </c>
      <c r="F40" s="1317" t="s">
        <v>433</v>
      </c>
      <c r="G40" s="1317" t="s">
        <v>434</v>
      </c>
      <c r="H40" s="1317" t="s">
        <v>435</v>
      </c>
      <c r="I40" s="1317" t="s">
        <v>436</v>
      </c>
      <c r="J40" s="1317" t="s">
        <v>437</v>
      </c>
      <c r="K40" s="1317" t="s">
        <v>438</v>
      </c>
      <c r="L40" s="1317" t="s">
        <v>417</v>
      </c>
      <c r="Q40" s="298"/>
      <c r="R40" s="383"/>
      <c r="S40" s="2299"/>
      <c r="T40" s="2235"/>
      <c r="U40" s="309"/>
      <c r="V40" s="1954" t="s">
        <v>473</v>
      </c>
      <c r="W40" s="1954" t="s">
        <v>474</v>
      </c>
      <c r="X40" s="1942" t="s">
        <v>441</v>
      </c>
      <c r="Y40" s="2296" t="s">
        <v>442</v>
      </c>
      <c r="Z40" s="2346"/>
      <c r="AA40" s="2235"/>
      <c r="AB40" s="2234"/>
      <c r="AC40" s="2234"/>
      <c r="AD40" s="1972" t="s">
        <v>473</v>
      </c>
      <c r="AE40" s="1963" t="s">
        <v>474</v>
      </c>
      <c r="AF40" s="1942" t="s">
        <v>441</v>
      </c>
      <c r="AG40" s="2296" t="s">
        <v>442</v>
      </c>
      <c r="AH40" s="2297"/>
      <c r="AI40" s="2305"/>
      <c r="AJ40" s="2308"/>
      <c r="AK40" s="2153"/>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109</v>
      </c>
      <c r="T41" s="1262" t="s">
        <v>110</v>
      </c>
      <c r="U41" s="1252" t="str">
        <f>OFFSET(U41,0,-1)</f>
        <v>2</v>
      </c>
      <c r="V41" s="1960">
        <f>OFFSET(V41,0,-1)+1</f>
        <v>3</v>
      </c>
      <c r="W41" s="1960">
        <f>OFFSET(W41,0,-1)+1</f>
        <v>4</v>
      </c>
      <c r="X41" s="1960">
        <f>OFFSET(X41,0,-1)+1</f>
        <v>5</v>
      </c>
      <c r="Y41" s="2298">
        <f>OFFSET(Y41,0,-1)+1</f>
        <v>6</v>
      </c>
      <c r="Z41" s="2298"/>
      <c r="AA41" s="1348">
        <f>OFFSET(AA41,0,-2)+1</f>
        <v>7</v>
      </c>
      <c r="AB41" s="1348"/>
      <c r="AC41" s="1348"/>
      <c r="AD41" s="1960">
        <f>OFFSET(AD41,0,-1)+1</f>
        <v>1</v>
      </c>
      <c r="AE41" s="1960">
        <f>OFFSET(AE41,0,-1)+1</f>
        <v>2</v>
      </c>
      <c r="AF41" s="1960">
        <f>OFFSET(AF41,0,-1)+1</f>
        <v>3</v>
      </c>
      <c r="AG41" s="2298">
        <f>OFFSET(AG41,0,-1)+1</f>
        <v>4</v>
      </c>
      <c r="AH41" s="2298"/>
      <c r="AI41" s="1960">
        <f>OFFSET(AI41,0,-2)+1</f>
        <v>5</v>
      </c>
      <c r="AJ41" s="1252">
        <f>OFFSET(AJ41,0,-1)</f>
        <v>5</v>
      </c>
      <c r="AK41" s="1960">
        <f>OFFSET(AK41,0,-1)+1</f>
        <v>6</v>
      </c>
      <c r="AL41" s="1643"/>
      <c r="AM41" s="1643"/>
      <c r="AN41" s="1643"/>
      <c r="AO41" s="1643"/>
      <c r="AP41" s="1643"/>
      <c r="AQ41" s="1648">
        <v>0</v>
      </c>
    </row>
    <row customHeight="1" ht="107.25">
      <c r="A42" s="1274" t="s">
        <v>205</v>
      </c>
      <c r="B42" s="1274"/>
      <c r="C42" s="1274"/>
      <c r="D42" s="1274"/>
      <c r="E42" s="2315">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124</v>
      </c>
      <c r="U42" s="307"/>
      <c r="V42" s="2269"/>
      <c r="W42" s="2269"/>
      <c r="X42" s="2269"/>
      <c r="Y42" s="2269"/>
      <c r="Z42" s="2269"/>
      <c r="AA42" s="2270"/>
      <c r="AB42" s="1956"/>
      <c r="AC42" s="2269" t="str">
        <f>INDEX(PT_DIFFERENTIATION_NTAR,MATCH(A42,PT_DIFFERENTIATION_NTAR_ID,0))</f>
        <v/>
      </c>
      <c r="AD42" s="2269"/>
      <c r="AE42" s="2269"/>
      <c r="AF42" s="2269"/>
      <c r="AG42" s="2269"/>
      <c r="AH42" s="2269"/>
      <c r="AI42" s="2269"/>
      <c r="AJ42" s="2270"/>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205</v>
      </c>
      <c r="B43" s="1274" t="s">
        <v>206</v>
      </c>
      <c r="C43" s="1274"/>
      <c r="D43" s="1274"/>
      <c r="E43" s="2316"/>
      <c r="F43" s="2315">
        <v>1</v>
      </c>
      <c r="G43" s="1274"/>
      <c r="H43" s="1274"/>
      <c r="I43" s="1274"/>
      <c r="J43" s="1274"/>
      <c r="K43" s="1274"/>
      <c r="L43" s="1317"/>
      <c r="M43" s="1617"/>
      <c r="N43" s="1617"/>
      <c r="O43" s="1617"/>
      <c r="P43" s="1973"/>
      <c r="Q43" s="1418"/>
      <c r="R43" s="360"/>
      <c r="S43" s="1962" t="str">
        <f>INDEX(PT_DIFFERENTIATION_NUM_TER,MATCH(B43,PT_DIFFERENTIATION_TER_ID,0))</f>
        <v>.</v>
      </c>
      <c r="T43" s="1529" t="s">
        <v>396</v>
      </c>
      <c r="U43" s="307"/>
      <c r="V43" s="2269"/>
      <c r="W43" s="2269"/>
      <c r="X43" s="2269"/>
      <c r="Y43" s="2269"/>
      <c r="Z43" s="2269"/>
      <c r="AA43" s="2270"/>
      <c r="AB43" s="1956"/>
      <c r="AC43" s="2269" t="str">
        <f>INDEX(PT_DIFFERENTIATION_TER,MATCH(B43,PT_DIFFERENTIATION_TER_ID,0))</f>
        <v/>
      </c>
      <c r="AD43" s="2269"/>
      <c r="AE43" s="2269"/>
      <c r="AF43" s="2269"/>
      <c r="AG43" s="2269"/>
      <c r="AH43" s="2269"/>
      <c r="AI43" s="2269"/>
      <c r="AJ43" s="2270"/>
      <c r="AK43" s="1265" t="s">
        <v>397</v>
      </c>
      <c r="AM43" s="1631"/>
      <c r="AN43" s="1631" t="str">
        <f>IF(T43="","",T43)</f>
        <v>Территория действия тарифа</v>
      </c>
      <c r="AO43" s="1631"/>
      <c r="AP43" s="1631"/>
      <c r="AQ43" s="1638">
        <v>21</v>
      </c>
    </row>
    <row customHeight="1" ht="24">
      <c r="A44" s="1274" t="s">
        <v>205</v>
      </c>
      <c r="B44" s="1274" t="s">
        <v>206</v>
      </c>
      <c r="C44" s="1274" t="s">
        <v>207</v>
      </c>
      <c r="D44" s="1274"/>
      <c r="E44" s="2316"/>
      <c r="F44" s="2316"/>
      <c r="G44" s="2315">
        <v>1</v>
      </c>
      <c r="H44" s="1274"/>
      <c r="I44" s="1274"/>
      <c r="J44" s="1274"/>
      <c r="K44" s="1274"/>
      <c r="L44" s="1317"/>
      <c r="M44" s="1617"/>
      <c r="N44" s="1617"/>
      <c r="O44" s="1617"/>
      <c r="P44" s="1419"/>
      <c r="Q44" s="1418"/>
      <c r="R44" s="360"/>
      <c r="S44" s="1962" t="str">
        <f>INDEX(PT_DIFFERENTIATION_NUM_CS,MATCH(C44,PT_DIFFERENTIATION_CS_ID,0))</f>
        <v>..</v>
      </c>
      <c r="T44" s="316" t="s">
        <v>398</v>
      </c>
      <c r="U44" s="307"/>
      <c r="V44" s="2269"/>
      <c r="W44" s="2269"/>
      <c r="X44" s="2269"/>
      <c r="Y44" s="2269"/>
      <c r="Z44" s="2269"/>
      <c r="AA44" s="2270"/>
      <c r="AB44" s="1956"/>
      <c r="AC44" s="2269" t="str">
        <f>INDEX(PT_DIFFERENTIATION_CS,MATCH(C44,PT_DIFFERENTIATION_CS_ID,0))</f>
        <v/>
      </c>
      <c r="AD44" s="2269"/>
      <c r="AE44" s="2269"/>
      <c r="AF44" s="2269"/>
      <c r="AG44" s="2269"/>
      <c r="AH44" s="2269"/>
      <c r="AI44" s="2269"/>
      <c r="AJ44" s="2270"/>
      <c r="AK44" s="1265" t="s">
        <v>399</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316"/>
      <c r="F45" s="2316"/>
      <c r="G45" s="2316"/>
      <c r="H45" s="2315">
        <v>1</v>
      </c>
      <c r="I45" s="1274"/>
      <c r="J45" s="1274"/>
      <c r="K45" s="1274"/>
      <c r="L45" s="1317"/>
      <c r="M45" s="1617"/>
      <c r="N45" s="1617"/>
      <c r="O45" s="1617"/>
      <c r="P45" s="1419"/>
      <c r="Q45" s="1418"/>
      <c r="R45" s="360"/>
      <c r="S45" s="1962" t="str">
        <f>INDEX(PT_DIFFERENTIATION_NUM_IST_TE,MATCH(D45,PT_DIFFERENTIATION_IST_TE_ID,0))</f>
        <v>...</v>
      </c>
      <c r="T45" s="317" t="s">
        <v>400</v>
      </c>
      <c r="U45" s="307"/>
      <c r="V45" s="2269"/>
      <c r="W45" s="2269"/>
      <c r="X45" s="2269"/>
      <c r="Y45" s="2269"/>
      <c r="Z45" s="2269"/>
      <c r="AA45" s="2270"/>
      <c r="AB45" s="1956"/>
      <c r="AC45" s="2269" t="str">
        <f>INDEX(PT_DIFFERENTIATION_IST_TE,MATCH(D45,PT_DIFFERENTIATION_IST_TE_ID,0))</f>
        <v/>
      </c>
      <c r="AD45" s="2269"/>
      <c r="AE45" s="2269"/>
      <c r="AF45" s="2269"/>
      <c r="AG45" s="2269"/>
      <c r="AH45" s="2269"/>
      <c r="AI45" s="2269"/>
      <c r="AJ45" s="2270"/>
      <c r="AK45" s="1265" t="s">
        <v>401</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316"/>
      <c r="F46" s="2316"/>
      <c r="G46" s="2316"/>
      <c r="H46" s="2316"/>
      <c r="I46" s="2153" t="str">
        <f>S45&amp;".1"</f>
        <v>....1</v>
      </c>
      <c r="J46" s="1382"/>
      <c r="K46" s="1382"/>
      <c r="L46" s="1388" t="s">
        <v>402</v>
      </c>
      <c r="M46" s="1253"/>
      <c r="N46" s="1253"/>
      <c r="O46" s="1253"/>
      <c r="P46" s="2283">
        <v>1</v>
      </c>
      <c r="Q46" s="1958"/>
      <c r="R46" s="363"/>
      <c r="S46" s="1049"/>
      <c r="T46" s="1390"/>
      <c r="U46" s="1391"/>
      <c r="V46" s="2323"/>
      <c r="W46" s="2323"/>
      <c r="X46" s="2323"/>
      <c r="Y46" s="2323"/>
      <c r="Z46" s="2323"/>
      <c r="AA46" s="2324"/>
      <c r="AB46" s="1964"/>
      <c r="AC46" s="2323"/>
      <c r="AD46" s="2323"/>
      <c r="AE46" s="2323"/>
      <c r="AF46" s="2323"/>
      <c r="AG46" s="2323"/>
      <c r="AH46" s="2323"/>
      <c r="AI46" s="2323"/>
      <c r="AJ46" s="2324"/>
      <c r="AK46" s="1392"/>
      <c r="AM46" s="1631"/>
      <c r="AN46" s="1631" t="str">
        <f>IF(T46="","",T46)</f>
        <v/>
      </c>
      <c r="AO46" s="1631"/>
      <c r="AP46" s="1631"/>
      <c r="AQ46" s="1643">
        <v>0</v>
      </c>
    </row>
    <row s="1649" customFormat="1" customHeight="1" ht="0">
      <c r="A47" s="1382" t="s">
        <v>205</v>
      </c>
      <c r="B47" s="1382" t="s">
        <v>206</v>
      </c>
      <c r="C47" s="1382" t="s">
        <v>207</v>
      </c>
      <c r="D47" s="1382" t="s">
        <v>208</v>
      </c>
      <c r="E47" s="2316"/>
      <c r="F47" s="2316"/>
      <c r="G47" s="2316"/>
      <c r="H47" s="2316"/>
      <c r="I47" s="2127"/>
      <c r="J47" s="2153" t="str">
        <f>S45&amp;".1"</f>
        <v>....1</v>
      </c>
      <c r="K47" s="1382"/>
      <c r="L47" s="1388"/>
      <c r="M47" s="1253"/>
      <c r="N47" s="1253"/>
      <c r="O47" s="1253"/>
      <c r="P47" s="2283"/>
      <c r="Q47" s="2283">
        <v>1</v>
      </c>
      <c r="R47" s="364"/>
      <c r="S47" s="1049"/>
      <c r="T47" s="1406"/>
      <c r="U47" s="1391"/>
      <c r="V47" s="2323"/>
      <c r="W47" s="2323"/>
      <c r="X47" s="2323"/>
      <c r="Y47" s="2323"/>
      <c r="Z47" s="2323"/>
      <c r="AA47" s="2324"/>
      <c r="AB47" s="1964"/>
      <c r="AC47" s="2323"/>
      <c r="AD47" s="2323"/>
      <c r="AE47" s="2323"/>
      <c r="AF47" s="2323"/>
      <c r="AG47" s="2323"/>
      <c r="AH47" s="2323"/>
      <c r="AI47" s="2323"/>
      <c r="AJ47" s="2324"/>
      <c r="AK47" s="1392"/>
      <c r="AM47" s="1631"/>
      <c r="AN47" s="1631" t="str">
        <f>IF(T47="","",T47)</f>
        <v/>
      </c>
      <c r="AO47" s="1631"/>
      <c r="AP47" s="1631"/>
      <c r="AQ47" s="1643">
        <v>0</v>
      </c>
    </row>
    <row customHeight="1" ht="22.049999999999997">
      <c r="A48" s="1274" t="s">
        <v>205</v>
      </c>
      <c r="B48" s="1274" t="s">
        <v>206</v>
      </c>
      <c r="C48" s="1274" t="s">
        <v>207</v>
      </c>
      <c r="D48" s="1274" t="s">
        <v>208</v>
      </c>
      <c r="E48" s="2316"/>
      <c r="F48" s="2316"/>
      <c r="G48" s="2316"/>
      <c r="H48" s="2316"/>
      <c r="I48" s="2127"/>
      <c r="J48" s="2127"/>
      <c r="K48" s="1945" t="str">
        <f>S45&amp;".1"</f>
        <v>....1</v>
      </c>
      <c r="L48" s="1317"/>
      <c r="P48" s="2283"/>
      <c r="Q48" s="2283"/>
      <c r="R48" s="364">
        <v>1</v>
      </c>
      <c r="S48" s="1966" t="str">
        <f>$K48</f>
        <v>....1</v>
      </c>
      <c r="T48" s="1965"/>
      <c r="U48" s="307"/>
      <c r="V48" s="758"/>
      <c r="W48" s="1264"/>
      <c r="X48" s="1959"/>
      <c r="Y48" s="1946" t="s">
        <v>65</v>
      </c>
      <c r="Z48" s="1959"/>
      <c r="AA48" s="1946" t="s">
        <v>65</v>
      </c>
      <c r="AB48" s="1968"/>
      <c r="AC48" s="1967" t="s">
        <v>22</v>
      </c>
      <c r="AD48" s="758"/>
      <c r="AE48" s="1264"/>
      <c r="AF48" s="1959"/>
      <c r="AG48" s="1946" t="s">
        <v>65</v>
      </c>
      <c r="AH48" s="1959"/>
      <c r="AI48" s="1946" t="s">
        <v>65</v>
      </c>
      <c r="AJ48" s="1355"/>
      <c r="AK48" s="2279" t="s">
        <v>475</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316"/>
      <c r="F49" s="2316"/>
      <c r="G49" s="2316"/>
      <c r="H49" s="2316"/>
      <c r="I49" s="2127"/>
      <c r="J49" s="2153"/>
      <c r="K49" s="1274"/>
      <c r="L49" s="1317"/>
      <c r="P49" s="2283"/>
      <c r="Q49" s="2283"/>
      <c r="R49" s="363"/>
      <c r="S49" s="1285"/>
      <c r="T49" s="294" t="s">
        <v>463</v>
      </c>
      <c r="U49" s="607"/>
      <c r="V49" s="607"/>
      <c r="W49" s="607"/>
      <c r="X49" s="607"/>
      <c r="Y49" s="607"/>
      <c r="Z49" s="607"/>
      <c r="AA49" s="331"/>
      <c r="AB49" s="607"/>
      <c r="AC49" s="607"/>
      <c r="AD49" s="607"/>
      <c r="AE49" s="607"/>
      <c r="AF49" s="607"/>
      <c r="AG49" s="607"/>
      <c r="AH49" s="607"/>
      <c r="AI49" s="607"/>
      <c r="AJ49" s="331"/>
      <c r="AK49" s="2281"/>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316"/>
      <c r="F50" s="2316"/>
      <c r="G50" s="2316"/>
      <c r="H50" s="2316"/>
      <c r="I50" s="2153"/>
      <c r="J50" s="1382"/>
      <c r="K50" s="1382"/>
      <c r="L50" s="1388"/>
      <c r="M50" s="1253"/>
      <c r="N50" s="1253"/>
      <c r="O50" s="1253"/>
      <c r="P50" s="2283"/>
      <c r="Q50" s="1958"/>
      <c r="R50" s="363"/>
      <c r="S50" s="1393"/>
      <c r="T50" s="1394" t="s">
        <v>411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316"/>
      <c r="F51" s="2316"/>
      <c r="G51" s="2316"/>
      <c r="H51" s="2315"/>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316"/>
      <c r="F52" s="2316"/>
      <c r="G52" s="2315"/>
      <c r="H52" s="1381"/>
      <c r="I52" s="1381"/>
      <c r="J52" s="1381"/>
      <c r="K52" s="1381"/>
      <c r="L52" s="1384"/>
      <c r="M52" s="1385"/>
      <c r="N52" s="1385"/>
      <c r="O52" s="35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316"/>
      <c r="F53" s="2315"/>
      <c r="G53" s="1381"/>
      <c r="H53" s="1381"/>
      <c r="I53" s="1381"/>
      <c r="J53" s="1381"/>
      <c r="K53" s="1381"/>
      <c r="L53" s="1384"/>
      <c r="M53" s="1386"/>
      <c r="N53" s="1386"/>
      <c r="O53" s="358"/>
      <c r="P53" s="1323"/>
      <c r="Q53" s="1324"/>
      <c r="R53" s="1323"/>
      <c r="S53" s="1329"/>
      <c r="T53" s="1332" t="s">
        <v>414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316"/>
      <c r="F54" s="1382"/>
      <c r="G54" s="1382"/>
      <c r="H54" s="1382"/>
      <c r="I54" s="1382"/>
      <c r="J54" s="1382"/>
      <c r="K54" s="1382"/>
      <c r="L54" s="1388"/>
      <c r="M54" s="1386"/>
      <c r="N54" s="1386"/>
      <c r="O54" s="358"/>
      <c r="P54" s="387"/>
      <c r="Q54" s="1351"/>
      <c r="R54" s="387"/>
      <c r="S54" s="1329"/>
      <c r="T54" s="1332" t="s">
        <v>415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315"/>
      <c r="F55" s="1382"/>
      <c r="G55" s="1382"/>
      <c r="H55" s="1382"/>
      <c r="I55" s="1382"/>
      <c r="J55" s="1382"/>
      <c r="K55" s="1382"/>
      <c r="L55" s="1388"/>
      <c r="M55" s="1386"/>
      <c r="N55" s="1386"/>
      <c r="O55" s="358"/>
      <c r="P55" s="387"/>
      <c r="Q55" s="1351"/>
      <c r="R55" s="387"/>
      <c r="S55" s="1329"/>
      <c r="T55" s="1332" t="s">
        <v>415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443</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11"/>
      <c r="U58" s="2311"/>
      <c r="V58" s="2311"/>
      <c r="W58" s="2311"/>
      <c r="X58" s="2311"/>
      <c r="Y58" s="2311"/>
      <c r="Z58" s="2311"/>
      <c r="AA58" s="2311"/>
      <c r="AB58" s="2311"/>
      <c r="AC58" s="2311"/>
      <c r="AD58" s="2311"/>
      <c r="AE58" s="2311"/>
      <c r="AF58" s="2311"/>
      <c r="AG58" s="2311"/>
      <c r="AH58" s="2311"/>
      <c r="AI58" s="2311"/>
      <c r="AJ58" s="2311"/>
      <c r="AK58" s="2311"/>
      <c r="AQ58" s="1638">
        <v>19</v>
      </c>
    </row>
    <row customHeight="1" ht="21">
      <c r="O59" s="1642"/>
      <c r="T59" s="2311"/>
      <c r="U59" s="2311"/>
      <c r="V59" s="2311"/>
      <c r="W59" s="2311"/>
      <c r="X59" s="2311"/>
      <c r="Y59" s="2311"/>
      <c r="Z59" s="2311"/>
      <c r="AA59" s="2311"/>
      <c r="AB59" s="2311"/>
      <c r="AC59" s="2311"/>
      <c r="AD59" s="2311"/>
      <c r="AE59" s="2311"/>
      <c r="AF59" s="2311"/>
      <c r="AG59" s="2311"/>
      <c r="AH59" s="2311"/>
      <c r="AI59" s="2311"/>
      <c r="AJ59" s="2311"/>
      <c r="AK59" s="2311"/>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11"/>
      <c r="U61" s="2311"/>
      <c r="V61" s="2311"/>
      <c r="W61" s="2311"/>
      <c r="X61" s="2311"/>
      <c r="Y61" s="2311"/>
      <c r="Z61" s="2311"/>
      <c r="AA61" s="2311"/>
      <c r="AB61" s="2311"/>
      <c r="AC61" s="2311"/>
      <c r="AD61" s="2311"/>
      <c r="AE61" s="2311"/>
      <c r="AF61" s="2311"/>
      <c r="AG61" s="2311"/>
      <c r="AH61" s="2311"/>
      <c r="AI61" s="2311"/>
      <c r="AJ61" s="2311"/>
      <c r="AK61" s="2311"/>
      <c r="AQ61" s="1638">
        <v>19</v>
      </c>
    </row>
    <row customHeight="1" ht="16.8">
      <c r="O62" s="1642"/>
      <c r="T62" s="2311"/>
      <c r="U62" s="2311"/>
      <c r="V62" s="2311"/>
      <c r="W62" s="2311"/>
      <c r="X62" s="2311"/>
      <c r="Y62" s="2311"/>
      <c r="Z62" s="2311"/>
      <c r="AA62" s="2311"/>
      <c r="AB62" s="2311"/>
      <c r="AC62" s="2311"/>
      <c r="AD62" s="2311"/>
      <c r="AE62" s="2311"/>
      <c r="AF62" s="2311"/>
      <c r="AG62" s="2311"/>
      <c r="AH62" s="2311"/>
      <c r="AI62" s="2311"/>
      <c r="AJ62" s="2311"/>
      <c r="AK62" s="2311"/>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1C407-01E3-7242-CF5B-7817652ED2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30"/>
      <c r="Q3" s="359"/>
      <c r="R3" s="360"/>
      <c r="S3" s="1432">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32">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29"/>
      <c r="R5" s="363"/>
      <c r="S5" s="1432">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32">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32">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31"/>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29"/>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33"/>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28"/>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359" t="s">
        <v>486</v>
      </c>
      <c r="W38" s="2288" t="s">
        <v>430</v>
      </c>
      <c r="X38" s="2289"/>
      <c r="Y38" s="2288" t="s">
        <v>431</v>
      </c>
      <c r="Z38" s="2295"/>
      <c r="AA38" s="2289"/>
      <c r="AB38" s="2304"/>
      <c r="AC38" s="13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359" t="s">
        <v>489</v>
      </c>
      <c r="W39" s="1229" t="s">
        <v>490</v>
      </c>
      <c r="X39" s="1229" t="s">
        <v>491</v>
      </c>
      <c r="Y39" s="1364" t="s">
        <v>441</v>
      </c>
      <c r="Z39" s="2296" t="s">
        <v>442</v>
      </c>
      <c r="AA39" s="2297"/>
      <c r="AB39" s="2305"/>
      <c r="AC39" s="1359" t="s">
        <v>489</v>
      </c>
      <c r="AD39" s="1229" t="s">
        <v>490</v>
      </c>
      <c r="AE39" s="1229" t="s">
        <v>491</v>
      </c>
      <c r="AF39" s="1364" t="s">
        <v>441</v>
      </c>
      <c r="AG39" s="2296" t="s">
        <v>442</v>
      </c>
      <c r="AH39" s="2297"/>
      <c r="AI39" s="2305"/>
      <c r="AJ39" s="2308"/>
      <c r="AK39" s="2153"/>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98">
        <f>OFFSET(Z40,0,-1)+1</f>
        <v>7</v>
      </c>
      <c r="AA40" s="2298"/>
      <c r="AB40" s="1360">
        <f>OFFSET(AB40,0,-2)+1</f>
        <v>8</v>
      </c>
      <c r="AC40" s="1360">
        <f>OFFSET(AC40,0,-1)+1</f>
        <v>9</v>
      </c>
      <c r="AD40" s="1360">
        <f>OFFSET(AD40,0,-1)+1</f>
        <v>10</v>
      </c>
      <c r="AE40" s="1360">
        <f>OFFSET(AE40,0,-1)+1</f>
        <v>11</v>
      </c>
      <c r="AF40" s="1360">
        <f>OFFSET(AF40,0,-1)+1</f>
        <v>12</v>
      </c>
      <c r="AG40" s="2298">
        <f>OFFSET(AG40,0,-1)+1</f>
        <v>13</v>
      </c>
      <c r="AH40" s="2298"/>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84">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85"/>
      <c r="F42" s="2284">
        <v>1</v>
      </c>
      <c r="G42" s="1370"/>
      <c r="H42" s="1370"/>
      <c r="I42" s="1370"/>
      <c r="J42" s="1370"/>
      <c r="K42" s="1370"/>
      <c r="L42" s="1371"/>
      <c r="M42" s="1372"/>
      <c r="N42" s="1372"/>
      <c r="O42" s="1372"/>
      <c r="P42" s="1363"/>
      <c r="Q42" s="359"/>
      <c r="R42" s="360"/>
      <c r="S42" s="1365"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225</v>
      </c>
      <c r="B43" s="1370" t="s">
        <v>226</v>
      </c>
      <c r="C43" s="1370" t="s">
        <v>227</v>
      </c>
      <c r="D43" s="1370"/>
      <c r="E43" s="2285"/>
      <c r="F43" s="2285"/>
      <c r="G43" s="2284">
        <v>1</v>
      </c>
      <c r="H43" s="1370"/>
      <c r="I43" s="1370"/>
      <c r="J43" s="1370"/>
      <c r="K43" s="1370"/>
      <c r="L43" s="1371"/>
      <c r="M43" s="1372"/>
      <c r="N43" s="1372"/>
      <c r="O43" s="1372"/>
      <c r="P43" s="361"/>
      <c r="Q43" s="359"/>
      <c r="R43" s="360"/>
      <c r="S43" s="1365"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492</v>
      </c>
      <c r="E44" s="2285"/>
      <c r="F44" s="2285"/>
      <c r="G44" s="2285"/>
      <c r="H44" s="2285"/>
      <c r="I44" s="2282" t="str">
        <f>S43&amp;".1"</f>
        <v>...1</v>
      </c>
      <c r="J44" s="1370"/>
      <c r="K44" s="1370"/>
      <c r="L44" s="1371"/>
      <c r="P44" s="2283">
        <v>1</v>
      </c>
      <c r="Q44" s="1361"/>
      <c r="R44" s="363"/>
      <c r="S44" s="1365"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492</v>
      </c>
      <c r="E45" s="2285"/>
      <c r="F45" s="2285"/>
      <c r="G45" s="2285"/>
      <c r="H45" s="2285"/>
      <c r="I45" s="2312"/>
      <c r="J45" s="2282" t="str">
        <f>I44&amp;".1"</f>
        <v>...1.1</v>
      </c>
      <c r="K45" s="1370"/>
      <c r="L45" s="1371" t="s">
        <v>405</v>
      </c>
      <c r="P45" s="2283"/>
      <c r="Q45" s="2283">
        <v>1</v>
      </c>
      <c r="R45" s="364"/>
      <c r="S45" s="1365"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225</v>
      </c>
      <c r="B46" s="1370" t="s">
        <v>226</v>
      </c>
      <c r="C46" s="1370" t="s">
        <v>227</v>
      </c>
      <c r="D46" s="1370" t="s">
        <v>492</v>
      </c>
      <c r="E46" s="2285"/>
      <c r="F46" s="2285"/>
      <c r="G46" s="2285"/>
      <c r="H46" s="2285"/>
      <c r="I46" s="2312"/>
      <c r="J46" s="2312"/>
      <c r="K46" s="2282" t="str">
        <f>J45&amp;".1"</f>
        <v>...1.1.1</v>
      </c>
      <c r="L46" s="1371"/>
      <c r="P46" s="2283"/>
      <c r="Q46" s="2283"/>
      <c r="R46" s="364">
        <v>1</v>
      </c>
      <c r="S46" s="1365" t="str">
        <f>$K46</f>
        <v>...1.1.1</v>
      </c>
      <c r="T46" s="1444"/>
      <c r="U46" s="307"/>
      <c r="V46" s="1367"/>
      <c r="W46" s="1367"/>
      <c r="X46" s="1368"/>
      <c r="Y46" s="2293"/>
      <c r="Z46" s="2294" t="s">
        <v>65</v>
      </c>
      <c r="AA46" s="2293"/>
      <c r="AB46" s="2294" t="s">
        <v>65</v>
      </c>
      <c r="AC46" s="758"/>
      <c r="AD46" s="758"/>
      <c r="AE46" s="1264"/>
      <c r="AF46" s="2291"/>
      <c r="AG46" s="2133" t="s">
        <v>65</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492</v>
      </c>
      <c r="E47" s="2285"/>
      <c r="F47" s="2285"/>
      <c r="G47" s="2285"/>
      <c r="H47" s="2285"/>
      <c r="I47" s="2312"/>
      <c r="J47" s="2312"/>
      <c r="K47" s="2282"/>
      <c r="L47" s="1371"/>
      <c r="P47" s="2283"/>
      <c r="Q47" s="2283"/>
      <c r="R47" s="364"/>
      <c r="S47" s="1366"/>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225</v>
      </c>
      <c r="B48" s="1370" t="s">
        <v>226</v>
      </c>
      <c r="C48" s="1370" t="s">
        <v>227</v>
      </c>
      <c r="D48" s="1370" t="s">
        <v>492</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492</v>
      </c>
      <c r="E49" s="2285"/>
      <c r="F49" s="2285"/>
      <c r="G49" s="2285"/>
      <c r="H49" s="2285"/>
      <c r="I49" s="2282"/>
      <c r="J49" s="1370"/>
      <c r="K49" s="1370"/>
      <c r="L49" s="1371"/>
      <c r="P49" s="2283"/>
      <c r="Q49" s="1361"/>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492</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85"/>
      <c r="F51" s="2284"/>
      <c r="G51" s="1321"/>
      <c r="H51" s="1321"/>
      <c r="I51" s="1321"/>
      <c r="J51" s="1321"/>
      <c r="K51" s="1321"/>
      <c r="L51" s="1433"/>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F69D2-B875-466A-CEF3-4B90513328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230</v>
      </c>
      <c r="B43" s="1370" t="s">
        <v>231</v>
      </c>
      <c r="C43" s="1370" t="s">
        <v>232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493</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493</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230</v>
      </c>
      <c r="B46" s="1370" t="s">
        <v>231</v>
      </c>
      <c r="C46" s="1370" t="s">
        <v>232</v>
      </c>
      <c r="D46" s="1370" t="s">
        <v>493</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65</v>
      </c>
      <c r="AA46" s="2291"/>
      <c r="AB46" s="2133" t="s">
        <v>65</v>
      </c>
      <c r="AC46" s="758"/>
      <c r="AD46" s="758"/>
      <c r="AE46" s="1264"/>
      <c r="AF46" s="2291"/>
      <c r="AG46" s="2133" t="s">
        <v>65</v>
      </c>
      <c r="AH46" s="2313"/>
      <c r="AI46" s="2133" t="s">
        <v>65</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493</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230</v>
      </c>
      <c r="B48" s="1370" t="s">
        <v>231</v>
      </c>
      <c r="C48" s="1370" t="s">
        <v>232</v>
      </c>
      <c r="D48" s="1370" t="s">
        <v>493</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493</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493</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83A38-4CDE-282B-D126-09F09B02E2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235</v>
      </c>
      <c r="B43" s="1370" t="s">
        <v>236</v>
      </c>
      <c r="C43" s="1370" t="s">
        <v>237</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494</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494</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235</v>
      </c>
      <c r="B46" s="1370" t="s">
        <v>236</v>
      </c>
      <c r="C46" s="1370" t="s">
        <v>237</v>
      </c>
      <c r="D46" s="1370" t="s">
        <v>494</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65</v>
      </c>
      <c r="AA46" s="2291"/>
      <c r="AB46" s="2133" t="s">
        <v>65</v>
      </c>
      <c r="AC46" s="758"/>
      <c r="AD46" s="758"/>
      <c r="AE46" s="1264"/>
      <c r="AF46" s="2291"/>
      <c r="AG46" s="2133" t="s">
        <v>65</v>
      </c>
      <c r="AH46" s="2313"/>
      <c r="AI46" s="2133" t="s">
        <v>65</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494</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235</v>
      </c>
      <c r="B48" s="1370" t="s">
        <v>236</v>
      </c>
      <c r="C48" s="1370" t="s">
        <v>237</v>
      </c>
      <c r="D48" s="1370" t="s">
        <v>494</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494</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494</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403D9-969E-ABA5-79BB-6772BC5ED2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240</v>
      </c>
      <c r="B43" s="1370" t="s">
        <v>241</v>
      </c>
      <c r="C43" s="1370" t="s">
        <v>242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495</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495</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240</v>
      </c>
      <c r="B46" s="1370" t="s">
        <v>241</v>
      </c>
      <c r="C46" s="1370" t="s">
        <v>242</v>
      </c>
      <c r="D46" s="1370" t="s">
        <v>495</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65</v>
      </c>
      <c r="AA46" s="2291"/>
      <c r="AB46" s="2133" t="s">
        <v>65</v>
      </c>
      <c r="AC46" s="758"/>
      <c r="AD46" s="758"/>
      <c r="AE46" s="1264"/>
      <c r="AF46" s="2291"/>
      <c r="AG46" s="2133" t="s">
        <v>65</v>
      </c>
      <c r="AH46" s="2313"/>
      <c r="AI46" s="2133" t="s">
        <v>65</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495</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240</v>
      </c>
      <c r="B48" s="1370" t="s">
        <v>241</v>
      </c>
      <c r="C48" s="1370" t="s">
        <v>242</v>
      </c>
      <c r="D48" s="1370" t="s">
        <v>495</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495</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495</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F5546-413F-C7D5-17A6-D42079D2E38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472">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42" hidden="1">
      <c r="A4" s="1370"/>
      <c r="B4" s="1370"/>
      <c r="C4" s="1370"/>
      <c r="D4" s="1370"/>
      <c r="E4" s="2285"/>
      <c r="F4" s="2285"/>
      <c r="G4" s="2284">
        <v>1</v>
      </c>
      <c r="H4" s="1370"/>
      <c r="I4" s="1370"/>
      <c r="J4" s="1370"/>
      <c r="K4" s="1370"/>
      <c r="L4" s="1371"/>
      <c r="M4" s="1372"/>
      <c r="N4" s="1372"/>
      <c r="O4" s="1372"/>
      <c r="P4" s="1419"/>
      <c r="Q4" s="1418"/>
      <c r="R4" s="360"/>
      <c r="S4" s="1472">
        <f>INDEX(PT_DIFFERENTIATION_NUM_CS,MATCH(C4,PT_DIFFERENTIATION_CS_ID,0))</f>
      </c>
      <c r="T4" s="316" t="s">
        <v>478</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479</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69"/>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66" t="s">
        <v>65</v>
      </c>
      <c r="AB8" s="1740"/>
      <c r="AC8" s="1466" t="s">
        <v>65</v>
      </c>
      <c r="AD8" s="2211" t="s">
        <v>65</v>
      </c>
      <c r="AE8" s="2352"/>
      <c r="AF8" s="2231">
        <v>1</v>
      </c>
      <c r="AG8" s="2389"/>
      <c r="AH8" s="2133" t="s">
        <v>65</v>
      </c>
      <c r="AI8" s="2352"/>
      <c r="AJ8" s="2231">
        <v>1</v>
      </c>
      <c r="AK8" s="2353" t="s">
        <v>22</v>
      </c>
      <c r="AL8" s="2133" t="s">
        <v>65</v>
      </c>
      <c r="AM8" s="2218"/>
      <c r="AN8" s="2231">
        <v>1</v>
      </c>
      <c r="AO8" s="2383"/>
      <c r="AP8" s="2384" t="s">
        <v>65</v>
      </c>
      <c r="AQ8" s="318"/>
      <c r="AR8" s="1470">
        <v>1</v>
      </c>
      <c r="AS8" s="1473" t="s">
        <v>22</v>
      </c>
      <c r="AT8" s="758"/>
      <c r="AU8" s="1264"/>
      <c r="AV8" s="758"/>
      <c r="AW8" s="1264"/>
      <c r="AX8" s="1740"/>
      <c r="AY8" s="1466" t="s">
        <v>65</v>
      </c>
      <c r="AZ8" s="1740"/>
      <c r="BA8" s="1466" t="s">
        <v>65</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47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65</v>
      </c>
      <c r="AZ20" s="1742"/>
      <c r="BA20" s="1467" t="s">
        <v>65</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Общество с ограниченной ответственностью "Сигнал", г. Серов</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
        <v>42</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
        <v>502</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503</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
        <v>502</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
        <v>503</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55" t="s">
        <v>473</v>
      </c>
      <c r="W44" s="1455" t="s">
        <v>474</v>
      </c>
      <c r="X44" s="1455" t="s">
        <v>473</v>
      </c>
      <c r="Y44" s="1455" t="s">
        <v>474</v>
      </c>
      <c r="Z44" s="1462"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55" t="s">
        <v>473</v>
      </c>
      <c r="AU44" s="1455" t="s">
        <v>474</v>
      </c>
      <c r="AV44" s="1455" t="s">
        <v>473</v>
      </c>
      <c r="AW44" s="1455" t="s">
        <v>474</v>
      </c>
      <c r="AX44" s="1462"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98">
        <f>OFFSET(AA45,0,-1)+1</f>
        <v>8</v>
      </c>
      <c r="AB45" s="2298"/>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8">
        <f>OFFSET(AY45,0,-1)+1</f>
        <v>3</v>
      </c>
      <c r="AZ45" s="2298"/>
      <c r="BA45" s="1458">
        <f>OFFSET(BA45,0,-2)+1</f>
        <v>4</v>
      </c>
      <c r="BB45" s="1252">
        <f>OFFSET(BB45,0,-1)</f>
        <v>4</v>
      </c>
      <c r="BC45" s="1458">
        <f>OFFSET(BC45,0,-1)+1</f>
        <v>5</v>
      </c>
      <c r="BD45" s="518"/>
      <c r="BE45" s="518"/>
      <c r="BF45" s="518"/>
      <c r="BG45" s="518"/>
      <c r="BH45" s="518"/>
      <c r="BI45" s="503">
        <v>0</v>
      </c>
    </row>
    <row customHeight="1" ht="22.049999999999997">
      <c r="A46" s="1370" t="s">
        <v>245</v>
      </c>
      <c r="B46" s="1370"/>
      <c r="C46" s="1370"/>
      <c r="D46" s="1370"/>
      <c r="E46" s="2284">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245</v>
      </c>
      <c r="B47" s="1370" t="s">
        <v>246</v>
      </c>
      <c r="C47" s="1370"/>
      <c r="D47" s="1370"/>
      <c r="E47" s="2285"/>
      <c r="F47" s="2284">
        <v>1</v>
      </c>
      <c r="G47" s="1370"/>
      <c r="H47" s="1370"/>
      <c r="I47" s="1370"/>
      <c r="J47" s="1370"/>
      <c r="K47" s="1370"/>
      <c r="L47" s="1371"/>
      <c r="M47" s="1372"/>
      <c r="N47" s="1372"/>
      <c r="O47" s="1372"/>
      <c r="P47" s="1417"/>
      <c r="Q47" s="1418"/>
      <c r="R47" s="360"/>
      <c r="S47" s="1464"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43.050000000000004">
      <c r="A48" s="1370" t="s">
        <v>245</v>
      </c>
      <c r="B48" s="1370" t="s">
        <v>246</v>
      </c>
      <c r="C48" s="1370" t="s">
        <v>247</v>
      </c>
      <c r="D48" s="1370"/>
      <c r="E48" s="2285"/>
      <c r="F48" s="2285"/>
      <c r="G48" s="2284">
        <v>1</v>
      </c>
      <c r="H48" s="1370"/>
      <c r="I48" s="1370"/>
      <c r="J48" s="1370"/>
      <c r="K48" s="1370"/>
      <c r="L48" s="1371"/>
      <c r="M48" s="1372"/>
      <c r="N48" s="1372"/>
      <c r="O48" s="1372"/>
      <c r="P48" s="1419"/>
      <c r="Q48" s="1418"/>
      <c r="R48" s="360"/>
      <c r="S48" s="1464" t="str">
        <f>INDEX(PT_DIFFERENTIATION_NUM_CS,MATCH(C48,PT_DIFFERENTIATION_CS_ID,0))</f>
        <v>..</v>
      </c>
      <c r="T48" s="316" t="s">
        <v>478</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479</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245</v>
      </c>
      <c r="B49" s="1350" t="s">
        <v>246</v>
      </c>
      <c r="C49" s="1350" t="s">
        <v>247</v>
      </c>
      <c r="D49" s="1350" t="s">
        <v>512</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245</v>
      </c>
      <c r="B50" s="1350" t="s">
        <v>246</v>
      </c>
      <c r="C50" s="1350" t="s">
        <v>247</v>
      </c>
      <c r="D50" s="1350" t="s">
        <v>512</v>
      </c>
      <c r="E50" s="2285"/>
      <c r="F50" s="2285"/>
      <c r="G50" s="2285"/>
      <c r="H50" s="2285"/>
      <c r="I50" s="2282" t="str">
        <f>S49&amp;".1"</f>
        <v>.1</v>
      </c>
      <c r="J50" s="1350"/>
      <c r="K50" s="1350"/>
      <c r="L50" s="1353" t="s">
        <v>402</v>
      </c>
      <c r="M50" s="517"/>
      <c r="N50" s="517"/>
      <c r="O50" s="517"/>
      <c r="P50" s="2283">
        <v>1</v>
      </c>
      <c r="Q50" s="1469"/>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245</v>
      </c>
      <c r="B51" s="1350" t="s">
        <v>246</v>
      </c>
      <c r="C51" s="1350" t="s">
        <v>247</v>
      </c>
      <c r="D51" s="1350" t="s">
        <v>512</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245</v>
      </c>
      <c r="B52" s="1370" t="s">
        <v>246</v>
      </c>
      <c r="C52" s="1370" t="s">
        <v>247</v>
      </c>
      <c r="D52" s="1370" t="s">
        <v>512</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66" t="s">
        <v>65</v>
      </c>
      <c r="AB52" s="1740"/>
      <c r="AC52" s="1466" t="s">
        <v>65</v>
      </c>
      <c r="AD52" s="2211" t="s">
        <v>65</v>
      </c>
      <c r="AE52" s="2352"/>
      <c r="AF52" s="2231">
        <v>1</v>
      </c>
      <c r="AG52" s="2389"/>
      <c r="AH52" s="2133" t="s">
        <v>65</v>
      </c>
      <c r="AI52" s="2352"/>
      <c r="AJ52" s="2231">
        <v>1</v>
      </c>
      <c r="AK52" s="2353" t="s">
        <v>22</v>
      </c>
      <c r="AL52" s="2133" t="s">
        <v>65</v>
      </c>
      <c r="AM52" s="2218"/>
      <c r="AN52" s="2231">
        <v>1</v>
      </c>
      <c r="AO52" s="2383"/>
      <c r="AP52" s="2384" t="s">
        <v>65</v>
      </c>
      <c r="AQ52" s="318"/>
      <c r="AR52" s="1470">
        <v>1</v>
      </c>
      <c r="AS52" s="1473" t="s">
        <v>22</v>
      </c>
      <c r="AT52" s="758"/>
      <c r="AU52" s="1264"/>
      <c r="AV52" s="758"/>
      <c r="AW52" s="1264"/>
      <c r="AX52" s="1740"/>
      <c r="AY52" s="1466" t="s">
        <v>65</v>
      </c>
      <c r="AZ52" s="1740"/>
      <c r="BA52" s="1466" t="s">
        <v>65</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245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245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245</v>
      </c>
      <c r="B56" s="1370" t="s">
        <v>246</v>
      </c>
      <c r="C56" s="1370" t="s">
        <v>247</v>
      </c>
      <c r="D56" s="1370" t="s">
        <v>512</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245</v>
      </c>
      <c r="B57" s="1370" t="s">
        <v>246</v>
      </c>
      <c r="C57" s="1370" t="s">
        <v>247</v>
      </c>
      <c r="D57" s="1370" t="s">
        <v>512</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245</v>
      </c>
      <c r="B58" s="1350" t="s">
        <v>246</v>
      </c>
      <c r="C58" s="1350" t="s">
        <v>247</v>
      </c>
      <c r="D58" s="1350" t="s">
        <v>512</v>
      </c>
      <c r="E58" s="2285"/>
      <c r="F58" s="2285"/>
      <c r="G58" s="2285"/>
      <c r="H58" s="2285"/>
      <c r="I58" s="2282"/>
      <c r="J58" s="1350"/>
      <c r="K58" s="1350"/>
      <c r="L58" s="1353"/>
      <c r="M58" s="517"/>
      <c r="N58" s="517"/>
      <c r="O58" s="517"/>
      <c r="P58" s="2283"/>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245</v>
      </c>
      <c r="B59" s="1350" t="s">
        <v>246</v>
      </c>
      <c r="C59" s="1350" t="s">
        <v>247</v>
      </c>
      <c r="D59" s="1350" t="s">
        <v>512</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245</v>
      </c>
      <c r="B60" s="1350" t="s">
        <v>246</v>
      </c>
      <c r="C60" s="1350" t="s">
        <v>247</v>
      </c>
      <c r="D60" s="1321"/>
      <c r="E60" s="2285"/>
      <c r="F60" s="2285"/>
      <c r="G60" s="2284"/>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245</v>
      </c>
      <c r="B61" s="1350" t="s">
        <v>246</v>
      </c>
      <c r="C61" s="1321"/>
      <c r="D61" s="1321"/>
      <c r="E61" s="2285"/>
      <c r="F61" s="2284"/>
      <c r="G61" s="1321"/>
      <c r="H61" s="1321"/>
      <c r="I61" s="1321"/>
      <c r="J61" s="1321"/>
      <c r="K61" s="1321"/>
      <c r="L61" s="147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208A1-7D94-339E-C2C6-D9CFB78A5A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265</v>
      </c>
      <c r="B43" s="1370" t="s">
        <v>266</v>
      </c>
      <c r="C43" s="1370" t="s">
        <v>267</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517</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517</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265</v>
      </c>
      <c r="B46" s="1370" t="s">
        <v>266</v>
      </c>
      <c r="C46" s="1370" t="s">
        <v>267</v>
      </c>
      <c r="D46" s="1370" t="s">
        <v>517</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65</v>
      </c>
      <c r="AA46" s="2293"/>
      <c r="AB46" s="2294" t="s">
        <v>65</v>
      </c>
      <c r="AC46" s="758"/>
      <c r="AD46" s="758"/>
      <c r="AE46" s="1264"/>
      <c r="AF46" s="2291"/>
      <c r="AG46" s="2133" t="s">
        <v>65</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517</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265</v>
      </c>
      <c r="B48" s="1370" t="s">
        <v>266</v>
      </c>
      <c r="C48" s="1370" t="s">
        <v>267</v>
      </c>
      <c r="D48" s="1370" t="s">
        <v>517</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517</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517</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B7E68-B8FE-8D53-D41F-E6E7ED3F14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65</v>
      </c>
      <c r="AA7" s="2291"/>
      <c r="AB7" s="2133" t="s">
        <v>65</v>
      </c>
      <c r="AC7" s="758"/>
      <c r="AD7" s="758"/>
      <c r="AE7" s="1264"/>
      <c r="AF7" s="2291"/>
      <c r="AG7" s="2133" t="s">
        <v>65</v>
      </c>
      <c r="AH7" s="2313"/>
      <c r="AI7" s="2133" t="s">
        <v>65</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65</v>
      </c>
      <c r="AH15" s="2293"/>
      <c r="AI15" s="2294" t="s">
        <v>65</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270</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270</v>
      </c>
      <c r="B42" s="1370" t="s">
        <v>271</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270</v>
      </c>
      <c r="B43" s="1370" t="s">
        <v>271</v>
      </c>
      <c r="C43" s="1370" t="s">
        <v>272</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270</v>
      </c>
      <c r="B44" s="1370" t="s">
        <v>271</v>
      </c>
      <c r="C44" s="1370" t="s">
        <v>272</v>
      </c>
      <c r="D44" s="1370" t="s">
        <v>518</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270</v>
      </c>
      <c r="B45" s="1370" t="s">
        <v>271</v>
      </c>
      <c r="C45" s="1370" t="s">
        <v>272</v>
      </c>
      <c r="D45" s="1370" t="s">
        <v>518</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270</v>
      </c>
      <c r="B46" s="1370" t="s">
        <v>271</v>
      </c>
      <c r="C46" s="1370" t="s">
        <v>272</v>
      </c>
      <c r="D46" s="1370" t="s">
        <v>518</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65</v>
      </c>
      <c r="AA46" s="2293"/>
      <c r="AB46" s="2294" t="s">
        <v>65</v>
      </c>
      <c r="AC46" s="758"/>
      <c r="AD46" s="758"/>
      <c r="AE46" s="1264"/>
      <c r="AF46" s="2291"/>
      <c r="AG46" s="2133" t="s">
        <v>65</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270</v>
      </c>
      <c r="B47" s="1370" t="s">
        <v>271</v>
      </c>
      <c r="C47" s="1370" t="s">
        <v>272</v>
      </c>
      <c r="D47" s="1370" t="s">
        <v>518</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270</v>
      </c>
      <c r="B48" s="1370" t="s">
        <v>271</v>
      </c>
      <c r="C48" s="1370" t="s">
        <v>272</v>
      </c>
      <c r="D48" s="1370" t="s">
        <v>518</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270</v>
      </c>
      <c r="B49" s="1370" t="s">
        <v>271</v>
      </c>
      <c r="C49" s="1370" t="s">
        <v>272</v>
      </c>
      <c r="D49" s="1370" t="s">
        <v>518</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270</v>
      </c>
      <c r="B50" s="1370" t="s">
        <v>271</v>
      </c>
      <c r="C50" s="1370" t="s">
        <v>272</v>
      </c>
      <c r="D50" s="1370" t="s">
        <v>518</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270</v>
      </c>
      <c r="B51" s="1350" t="s">
        <v>271</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F0F1E-128C-3334-3CFB-BFDB4AF1E50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513</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514</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65</v>
      </c>
      <c r="AB8" s="1740"/>
      <c r="AC8" s="1476" t="s">
        <v>65</v>
      </c>
      <c r="AD8" s="2211" t="s">
        <v>65</v>
      </c>
      <c r="AE8" s="2352"/>
      <c r="AF8" s="2231">
        <v>1</v>
      </c>
      <c r="AG8" s="2389"/>
      <c r="AH8" s="2133" t="s">
        <v>65</v>
      </c>
      <c r="AI8" s="2352"/>
      <c r="AJ8" s="2231">
        <v>1</v>
      </c>
      <c r="AK8" s="2353" t="s">
        <v>22</v>
      </c>
      <c r="AL8" s="2133" t="s">
        <v>65</v>
      </c>
      <c r="AM8" s="2218"/>
      <c r="AN8" s="2231">
        <v>1</v>
      </c>
      <c r="AO8" s="2383"/>
      <c r="AP8" s="2384" t="s">
        <v>65</v>
      </c>
      <c r="AQ8" s="318"/>
      <c r="AR8" s="1493">
        <v>1</v>
      </c>
      <c r="AS8" s="1499" t="s">
        <v>22</v>
      </c>
      <c r="AT8" s="758"/>
      <c r="AU8" s="1264"/>
      <c r="AV8" s="758"/>
      <c r="AW8" s="1264"/>
      <c r="AX8" s="1740"/>
      <c r="AY8" s="1476" t="s">
        <v>65</v>
      </c>
      <c r="AZ8" s="1740"/>
      <c r="BA8" s="1476" t="s">
        <v>65</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519</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520</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65</v>
      </c>
      <c r="AZ20" s="1742"/>
      <c r="BA20" s="1492" t="s">
        <v>65</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Общество с ограниченной ответственностью "Сигнал", г. Серов</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521</v>
      </c>
      <c r="AE41" s="2317"/>
      <c r="AF41" s="2317"/>
      <c r="AG41" s="2355"/>
      <c r="AH41" s="2354" t="s">
        <v>522</v>
      </c>
      <c r="AI41" s="2317"/>
      <c r="AJ41" s="2317"/>
      <c r="AK41" s="2355"/>
      <c r="AL41" s="2354" t="s">
        <v>523</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524</v>
      </c>
      <c r="AU42" s="2219"/>
      <c r="AV42" s="2218" t="s">
        <v>525</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275</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275</v>
      </c>
      <c r="B47" s="1370" t="s">
        <v>276</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275</v>
      </c>
      <c r="B48" s="1370" t="s">
        <v>276</v>
      </c>
      <c r="C48" s="1370" t="s">
        <v>277</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513</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514</v>
      </c>
      <c r="BE48" s="507"/>
      <c r="BF48" s="507" t="str">
        <f>IF(T48="","",T48)</f>
        <v>Наименование централизованной системы водоотведения</v>
      </c>
      <c r="BG48" s="507"/>
      <c r="BH48" s="507"/>
      <c r="BI48" s="1162">
        <v>34</v>
      </c>
    </row>
    <row s="1649" customFormat="1" customHeight="1" ht="0">
      <c r="A49" s="1350" t="s">
        <v>275</v>
      </c>
      <c r="B49" s="1350" t="s">
        <v>276</v>
      </c>
      <c r="C49" s="1350" t="s">
        <v>277</v>
      </c>
      <c r="D49" s="1350" t="s">
        <v>526</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275</v>
      </c>
      <c r="B50" s="1350" t="s">
        <v>276</v>
      </c>
      <c r="C50" s="1350" t="s">
        <v>277</v>
      </c>
      <c r="D50" s="1350" t="s">
        <v>526</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275</v>
      </c>
      <c r="B51" s="1350" t="s">
        <v>276</v>
      </c>
      <c r="C51" s="1350" t="s">
        <v>277</v>
      </c>
      <c r="D51" s="1350" t="s">
        <v>526</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275</v>
      </c>
      <c r="B52" s="1370" t="s">
        <v>276</v>
      </c>
      <c r="C52" s="1370" t="s">
        <v>277</v>
      </c>
      <c r="D52" s="1370" t="s">
        <v>526</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65</v>
      </c>
      <c r="AB52" s="1740"/>
      <c r="AC52" s="1476" t="s">
        <v>65</v>
      </c>
      <c r="AD52" s="2211" t="s">
        <v>65</v>
      </c>
      <c r="AE52" s="2352"/>
      <c r="AF52" s="2231">
        <v>1</v>
      </c>
      <c r="AG52" s="2389"/>
      <c r="AH52" s="2133" t="s">
        <v>65</v>
      </c>
      <c r="AI52" s="2352"/>
      <c r="AJ52" s="2231">
        <v>1</v>
      </c>
      <c r="AK52" s="2353" t="s">
        <v>22</v>
      </c>
      <c r="AL52" s="2133" t="s">
        <v>65</v>
      </c>
      <c r="AM52" s="2218"/>
      <c r="AN52" s="2231">
        <v>1</v>
      </c>
      <c r="AO52" s="2383"/>
      <c r="AP52" s="2384" t="s">
        <v>65</v>
      </c>
      <c r="AQ52" s="318"/>
      <c r="AR52" s="1493">
        <v>1</v>
      </c>
      <c r="AS52" s="1499" t="s">
        <v>22</v>
      </c>
      <c r="AT52" s="758"/>
      <c r="AU52" s="1264"/>
      <c r="AV52" s="758"/>
      <c r="AW52" s="1264"/>
      <c r="AX52" s="1740"/>
      <c r="AY52" s="1476" t="s">
        <v>65</v>
      </c>
      <c r="AZ52" s="1740"/>
      <c r="BA52" s="1476" t="s">
        <v>65</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275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519</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275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520</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275</v>
      </c>
      <c r="B56" s="1370" t="s">
        <v>276</v>
      </c>
      <c r="C56" s="1370" t="s">
        <v>277</v>
      </c>
      <c r="D56" s="1370" t="s">
        <v>526</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275</v>
      </c>
      <c r="B57" s="1370" t="s">
        <v>276</v>
      </c>
      <c r="C57" s="1370" t="s">
        <v>277</v>
      </c>
      <c r="D57" s="1370" t="s">
        <v>526</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275</v>
      </c>
      <c r="B58" s="1350" t="s">
        <v>276</v>
      </c>
      <c r="C58" s="1350" t="s">
        <v>277</v>
      </c>
      <c r="D58" s="1350" t="s">
        <v>526</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275</v>
      </c>
      <c r="B59" s="1350" t="s">
        <v>276</v>
      </c>
      <c r="C59" s="1350" t="s">
        <v>277</v>
      </c>
      <c r="D59" s="1350" t="s">
        <v>526</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275</v>
      </c>
      <c r="B60" s="1350" t="s">
        <v>276</v>
      </c>
      <c r="C60" s="1350" t="s">
        <v>277</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275</v>
      </c>
      <c r="B61" s="1350" t="s">
        <v>276</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585BA-F2C9-A8E3-E06F-D212E7D27CF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6" t="str">
        <f>NameTemplatesInListMO</f>
        <v>Перечень муниципальных районов и муниципальных образований (территорий оказания услуг)</v>
      </c>
      <c r="F4" s="2126"/>
      <c r="G4" s="2126"/>
      <c r="H4" s="2126"/>
      <c r="I4" s="2126"/>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7" t="s">
        <v>86</v>
      </c>
      <c r="F8" s="2128"/>
      <c r="G8" s="2129"/>
      <c r="H8" s="2130" t="s">
        <v>87</v>
      </c>
      <c r="I8" s="2130"/>
      <c r="J8" s="162"/>
      <c r="K8" s="162"/>
      <c r="L8" s="162"/>
      <c r="M8" s="162"/>
      <c r="N8" s="233"/>
      <c r="O8" s="162"/>
      <c r="P8" s="232"/>
      <c r="Q8" s="232"/>
      <c r="R8" s="232"/>
      <c r="S8" s="232"/>
      <c r="AC8" s="123">
        <v>14</v>
      </c>
    </row>
    <row s="1825"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5" customFormat="1" customHeight="1" ht="15">
      <c r="A12" s="2125">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25"/>
      <c r="B13" s="424">
        <v>1</v>
      </c>
      <c r="C13" s="424"/>
      <c r="D13" s="807"/>
      <c r="E13" s="787" t="str">
        <f>A12&amp;"."&amp;B13</f>
        <v>1.1</v>
      </c>
      <c r="F13" s="802" t="s">
        <v>99</v>
      </c>
      <c r="G13" s="800" t="s">
        <v>100</v>
      </c>
      <c r="H13" s="800" t="s">
        <v>100</v>
      </c>
      <c r="I13" s="798" t="s">
        <v>101</v>
      </c>
      <c r="J13" s="507">
        <f>MERGEVALUE(G13)</f>
      </c>
      <c r="K13" s="518"/>
      <c r="L13" s="518"/>
      <c r="M13" s="507" t="str">
        <f t="array" ref="M13:M13">IF(ISERROR(MATCH(MID(N13,1,250),MID(note_ter,1,250),0)),"n","y")</f>
        <v>n</v>
      </c>
      <c r="N13" s="518"/>
      <c r="O13" s="507" t="str">
        <f>H13&amp;"("&amp;I13&amp;")"</f>
        <v>Серовский(65549000)</v>
      </c>
      <c r="P13" s="424"/>
      <c r="Q13" s="424"/>
      <c r="R13" s="427"/>
      <c r="S13" s="424"/>
      <c r="T13" s="424"/>
      <c r="U13" s="424"/>
      <c r="V13" s="429"/>
      <c r="W13" s="429"/>
      <c r="X13" s="426"/>
      <c r="Y13" s="426"/>
      <c r="Z13" s="426"/>
      <c r="AA13" s="426"/>
      <c r="AB13" s="426"/>
      <c r="AC13" s="430">
        <v>15</v>
      </c>
    </row>
    <row s="1854" customFormat="1" customHeight="1" ht="15.75">
      <c r="A14" s="2125"/>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5"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5"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5"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5"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82</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34279-FA4A-BCAC-9E63-02DE62102D8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758"/>
      <c r="AC7" s="2291"/>
      <c r="AD7" s="2133" t="s">
        <v>65</v>
      </c>
      <c r="AE7" s="2291"/>
      <c r="AF7" s="2133" t="s">
        <v>65</v>
      </c>
      <c r="AG7" s="758"/>
      <c r="AH7" s="758"/>
      <c r="AI7" s="758"/>
      <c r="AJ7" s="758"/>
      <c r="AK7" s="758"/>
      <c r="AL7" s="758"/>
      <c r="AM7" s="758"/>
      <c r="AN7" s="2291"/>
      <c r="AO7" s="2133" t="s">
        <v>65</v>
      </c>
      <c r="AP7" s="2313"/>
      <c r="AQ7" s="2133" t="s">
        <v>65</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2"/>
      <c r="AC8" s="2292"/>
      <c r="AD8" s="2133"/>
      <c r="AE8" s="2292"/>
      <c r="AF8" s="2133"/>
      <c r="AG8" s="332"/>
      <c r="AH8" s="332"/>
      <c r="AI8" s="332"/>
      <c r="AJ8" s="332"/>
      <c r="AK8" s="332"/>
      <c r="AL8" s="332"/>
      <c r="AM8" s="332"/>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93"/>
      <c r="AO15" s="2294" t="s">
        <v>65</v>
      </c>
      <c r="AP15" s="2293"/>
      <c r="AQ15" s="2294" t="s">
        <v>65</v>
      </c>
      <c r="AY15" s="1162">
        <v>0</v>
      </c>
    </row>
    <row customHeight="1" ht="14.25" hidden="1">
      <c r="AG16" s="1367"/>
      <c r="AH16" s="1367"/>
      <c r="AI16" s="1367"/>
      <c r="AJ16" s="1367"/>
      <c r="AK16" s="1367"/>
      <c r="AL16" s="1367"/>
      <c r="AM16" s="1367"/>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B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17"/>
      <c r="X37" s="2317"/>
      <c r="Y37" s="2317"/>
      <c r="Z37" s="2317"/>
      <c r="AA37" s="2317"/>
      <c r="AB37" s="2317"/>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customHeight="1" ht="19.9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T39" s="1643"/>
      <c r="AU39" s="1643"/>
      <c r="AV39" s="1643"/>
      <c r="AW39" s="1643"/>
      <c r="AX39" s="1643"/>
      <c r="AY39" s="1638">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98">
        <f>OFFSET(AD41,0,-1)+1</f>
        <v>2</v>
      </c>
      <c r="AE41" s="2298"/>
      <c r="AF41" s="1489">
        <f>OFFSET(AF41,0,-2)+1</f>
        <v>3</v>
      </c>
      <c r="AG41" s="1489">
        <f>OFFSET(AG41,0,-1)+1</f>
        <v>4</v>
      </c>
      <c r="AH41" s="1960"/>
      <c r="AI41" s="1960"/>
      <c r="AJ41" s="1960"/>
      <c r="AK41" s="1960"/>
      <c r="AL41" s="1960"/>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250</v>
      </c>
      <c r="B44" s="1370" t="s">
        <v>251</v>
      </c>
      <c r="C44" s="1370" t="s">
        <v>252</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539</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539</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250</v>
      </c>
      <c r="B47" s="1370" t="s">
        <v>251</v>
      </c>
      <c r="C47" s="1370" t="s">
        <v>252</v>
      </c>
      <c r="D47" s="1370" t="s">
        <v>539</v>
      </c>
      <c r="E47" s="2285"/>
      <c r="F47" s="2285"/>
      <c r="G47" s="2285"/>
      <c r="H47" s="2285"/>
      <c r="I47" s="2312"/>
      <c r="J47" s="2312"/>
      <c r="K47" s="2282" t="str">
        <f>J46&amp;".1"</f>
        <v>...1.1.1</v>
      </c>
      <c r="L47" s="1371"/>
      <c r="P47" s="2283"/>
      <c r="Q47" s="2283"/>
      <c r="R47" s="364">
        <v>1</v>
      </c>
      <c r="S47" s="1500" t="str">
        <f>$K47</f>
        <v>...1.1.1</v>
      </c>
      <c r="T47" s="1444"/>
      <c r="U47" s="307"/>
      <c r="V47" s="758"/>
      <c r="W47" s="758"/>
      <c r="X47" s="758"/>
      <c r="Y47" s="758"/>
      <c r="Z47" s="758"/>
      <c r="AA47" s="758"/>
      <c r="AB47" s="758"/>
      <c r="AC47" s="2293"/>
      <c r="AD47" s="2294" t="s">
        <v>65</v>
      </c>
      <c r="AE47" s="2293"/>
      <c r="AF47" s="2294" t="s">
        <v>65</v>
      </c>
      <c r="AG47" s="758"/>
      <c r="AH47" s="758"/>
      <c r="AI47" s="758"/>
      <c r="AJ47" s="758"/>
      <c r="AK47" s="758"/>
      <c r="AL47" s="758"/>
      <c r="AM47" s="758"/>
      <c r="AN47" s="2291"/>
      <c r="AO47" s="2133" t="s">
        <v>65</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539</v>
      </c>
      <c r="E48" s="2285"/>
      <c r="F48" s="2285"/>
      <c r="G48" s="2285"/>
      <c r="H48" s="2285"/>
      <c r="I48" s="2312"/>
      <c r="J48" s="2312"/>
      <c r="K48" s="2282"/>
      <c r="L48" s="1371"/>
      <c r="P48" s="2283"/>
      <c r="Q48" s="2283"/>
      <c r="R48" s="364"/>
      <c r="S48" s="1497"/>
      <c r="T48" s="307"/>
      <c r="U48" s="307"/>
      <c r="V48" s="1367"/>
      <c r="W48" s="1367"/>
      <c r="X48" s="1367"/>
      <c r="Y48" s="1367"/>
      <c r="Z48" s="1367"/>
      <c r="AA48" s="1367"/>
      <c r="AB48" s="1367"/>
      <c r="AC48" s="2294"/>
      <c r="AD48" s="2294"/>
      <c r="AE48" s="2294"/>
      <c r="AF48" s="2294"/>
      <c r="AG48" s="332"/>
      <c r="AH48" s="332"/>
      <c r="AI48" s="332"/>
      <c r="AJ48" s="332"/>
      <c r="AK48" s="332"/>
      <c r="AL48" s="332"/>
      <c r="AM48" s="332"/>
      <c r="AN48" s="2292"/>
      <c r="AO48" s="2133"/>
      <c r="AP48" s="2314"/>
      <c r="AQ48" s="2133"/>
      <c r="AR48" s="1446"/>
      <c r="AS48" s="2375"/>
      <c r="AU48" s="507"/>
      <c r="AV48" s="507" t="str">
        <f>IF(T48="","",T48)</f>
        <v/>
      </c>
      <c r="AW48" s="507"/>
      <c r="AX48" s="507"/>
      <c r="AY48" s="1162">
        <v>0</v>
      </c>
    </row>
    <row customHeight="1" ht="21">
      <c r="A49" s="1370" t="s">
        <v>250</v>
      </c>
      <c r="B49" s="1370" t="s">
        <v>251</v>
      </c>
      <c r="C49" s="1370" t="s">
        <v>252</v>
      </c>
      <c r="D49" s="1370" t="s">
        <v>539</v>
      </c>
      <c r="E49" s="2285"/>
      <c r="F49" s="2285"/>
      <c r="G49" s="2285"/>
      <c r="H49" s="2285"/>
      <c r="I49" s="2312"/>
      <c r="J49" s="2282"/>
      <c r="K49" s="1370"/>
      <c r="L49" s="1371"/>
      <c r="P49" s="2283"/>
      <c r="Q49" s="2283"/>
      <c r="R49" s="363"/>
      <c r="S49" s="1285"/>
      <c r="T49" s="294" t="s">
        <v>483</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539</v>
      </c>
      <c r="E50" s="2285"/>
      <c r="F50" s="2285"/>
      <c r="G50" s="2285"/>
      <c r="H50" s="2285"/>
      <c r="I50" s="2282"/>
      <c r="J50" s="1370"/>
      <c r="K50" s="1370"/>
      <c r="L50" s="1371"/>
      <c r="P50" s="2283"/>
      <c r="Q50" s="1488"/>
      <c r="R50" s="363"/>
      <c r="S50" s="1285"/>
      <c r="T50" s="372" t="s">
        <v>411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539</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20B78-0DA3-5C5D-9FC2-55CAC5BF69E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1264"/>
      <c r="AC7" s="2291"/>
      <c r="AD7" s="2133" t="s">
        <v>65</v>
      </c>
      <c r="AE7" s="2291"/>
      <c r="AF7" s="2133" t="s">
        <v>65</v>
      </c>
      <c r="AG7" s="758"/>
      <c r="AH7" s="758"/>
      <c r="AI7" s="758"/>
      <c r="AJ7" s="758"/>
      <c r="AK7" s="758"/>
      <c r="AL7" s="758"/>
      <c r="AM7" s="1264"/>
      <c r="AN7" s="2291"/>
      <c r="AO7" s="2133" t="s">
        <v>65</v>
      </c>
      <c r="AP7" s="2313"/>
      <c r="AQ7" s="2133" t="s">
        <v>65</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5" t="str">
        <f>AC7&amp;"-"&amp;AE7</f>
        <v>-</v>
      </c>
      <c r="AC8" s="2292"/>
      <c r="AD8" s="2133"/>
      <c r="AE8" s="2292"/>
      <c r="AF8" s="2133"/>
      <c r="AG8" s="332"/>
      <c r="AH8" s="332"/>
      <c r="AI8" s="332"/>
      <c r="AJ8" s="332"/>
      <c r="AK8" s="332"/>
      <c r="AL8" s="332"/>
      <c r="AM8" s="335" t="str">
        <f>AN7&amp;"-"&amp;AP7</f>
        <v>-</v>
      </c>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93"/>
      <c r="AO15" s="2294" t="s">
        <v>65</v>
      </c>
      <c r="AP15" s="2293"/>
      <c r="AQ15" s="2294" t="s">
        <v>65</v>
      </c>
      <c r="AY15" s="1162">
        <v>0</v>
      </c>
    </row>
    <row customHeight="1" ht="14.25" hidden="1">
      <c r="AG16" s="1367"/>
      <c r="AH16" s="1367"/>
      <c r="AI16" s="1367"/>
      <c r="AJ16" s="1367"/>
      <c r="AK16" s="1367"/>
      <c r="AL16" s="1367"/>
      <c r="AM16" s="335" t="str">
        <f>AN15&amp;"-"&amp;AP15</f>
        <v>-</v>
      </c>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Общество с ограниченной ответственностью "Сигнал", г. Серов</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01"/>
      <c r="X37" s="2301"/>
      <c r="Y37" s="2301"/>
      <c r="Z37" s="2301"/>
      <c r="AA37" s="2301"/>
      <c r="AB37" s="2301"/>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T38" s="1643"/>
      <c r="AU38" s="1643"/>
      <c r="AV38" s="1643"/>
      <c r="AW38" s="1643"/>
      <c r="AX38" s="1643"/>
      <c r="AY38" s="1638">
        <v>19</v>
      </c>
    </row>
    <row customHeight="1" ht="19.95">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Y39" s="1162">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3"/>
      <c r="X41" s="1983"/>
      <c r="Y41" s="1983"/>
      <c r="Z41" s="1983"/>
      <c r="AA41" s="1983"/>
      <c r="AB41" s="1489">
        <f>OFFSET(AB41,0,-1)+1</f>
        <v>1</v>
      </c>
      <c r="AC41" s="1489">
        <f>OFFSET(AC41,0,-1)+1</f>
        <v>2</v>
      </c>
      <c r="AD41" s="2298">
        <f>OFFSET(AD41,0,-1)+1</f>
        <v>3</v>
      </c>
      <c r="AE41" s="2298"/>
      <c r="AF41" s="1489">
        <f>OFFSET(AF41,0,-2)+1</f>
        <v>4</v>
      </c>
      <c r="AG41" s="1489">
        <f>OFFSET(AG41,0,-1)+1</f>
        <v>5</v>
      </c>
      <c r="AH41" s="1983"/>
      <c r="AI41" s="1983"/>
      <c r="AJ41" s="1983"/>
      <c r="AK41" s="1983"/>
      <c r="AL41" s="1983"/>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255</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255</v>
      </c>
      <c r="B43" s="1370" t="s">
        <v>256</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255</v>
      </c>
      <c r="B44" s="1370" t="s">
        <v>256</v>
      </c>
      <c r="C44" s="1370" t="s">
        <v>257</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255</v>
      </c>
      <c r="B45" s="1370" t="s">
        <v>256</v>
      </c>
      <c r="C45" s="1370" t="s">
        <v>257</v>
      </c>
      <c r="D45" s="1370" t="s">
        <v>540</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255</v>
      </c>
      <c r="B46" s="1370" t="s">
        <v>256</v>
      </c>
      <c r="C46" s="1370" t="s">
        <v>257</v>
      </c>
      <c r="D46" s="1370" t="s">
        <v>540</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255</v>
      </c>
      <c r="B47" s="1370" t="s">
        <v>256</v>
      </c>
      <c r="C47" s="1370" t="s">
        <v>257</v>
      </c>
      <c r="D47" s="1370" t="s">
        <v>540</v>
      </c>
      <c r="E47" s="2285"/>
      <c r="F47" s="2285"/>
      <c r="G47" s="2285"/>
      <c r="H47" s="2285"/>
      <c r="I47" s="2312"/>
      <c r="J47" s="2312"/>
      <c r="K47" s="2282" t="str">
        <f>J46&amp;".1"</f>
        <v>...1.1.1</v>
      </c>
      <c r="L47" s="1371"/>
      <c r="P47" s="2283"/>
      <c r="Q47" s="2283"/>
      <c r="R47" s="364">
        <v>1</v>
      </c>
      <c r="S47" s="1500" t="str">
        <f>$K47</f>
        <v>...1.1.1</v>
      </c>
      <c r="T47" s="1444"/>
      <c r="U47" s="307"/>
      <c r="V47" s="1367"/>
      <c r="W47" s="1367"/>
      <c r="X47" s="1367"/>
      <c r="Y47" s="1367"/>
      <c r="Z47" s="1367"/>
      <c r="AA47" s="1367"/>
      <c r="AB47" s="1368"/>
      <c r="AC47" s="2293"/>
      <c r="AD47" s="2294" t="s">
        <v>65</v>
      </c>
      <c r="AE47" s="2293"/>
      <c r="AF47" s="2294" t="s">
        <v>65</v>
      </c>
      <c r="AG47" s="758"/>
      <c r="AH47" s="758"/>
      <c r="AI47" s="758"/>
      <c r="AJ47" s="758"/>
      <c r="AK47" s="758"/>
      <c r="AL47" s="758"/>
      <c r="AM47" s="1264"/>
      <c r="AN47" s="2291"/>
      <c r="AO47" s="2133" t="s">
        <v>65</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255</v>
      </c>
      <c r="B48" s="1370" t="s">
        <v>256</v>
      </c>
      <c r="C48" s="1370" t="s">
        <v>257</v>
      </c>
      <c r="D48" s="1370" t="s">
        <v>540</v>
      </c>
      <c r="E48" s="2285"/>
      <c r="F48" s="2285"/>
      <c r="G48" s="2285"/>
      <c r="H48" s="2285"/>
      <c r="I48" s="2312"/>
      <c r="J48" s="2312"/>
      <c r="K48" s="2282"/>
      <c r="L48" s="1371"/>
      <c r="P48" s="2283"/>
      <c r="Q48" s="2283"/>
      <c r="R48" s="364"/>
      <c r="S48" s="1497"/>
      <c r="T48" s="307"/>
      <c r="U48" s="307"/>
      <c r="V48" s="1367"/>
      <c r="W48" s="1367"/>
      <c r="X48" s="1367"/>
      <c r="Y48" s="1367"/>
      <c r="Z48" s="1367"/>
      <c r="AA48" s="1367"/>
      <c r="AB48" s="335" t="str">
        <f>AC47&amp;"-"&amp;AE47</f>
        <v>-</v>
      </c>
      <c r="AC48" s="2294"/>
      <c r="AD48" s="2294"/>
      <c r="AE48" s="2294"/>
      <c r="AF48" s="2294"/>
      <c r="AG48" s="332"/>
      <c r="AH48" s="332"/>
      <c r="AI48" s="332"/>
      <c r="AJ48" s="332"/>
      <c r="AK48" s="332"/>
      <c r="AL48" s="332"/>
      <c r="AM48" s="335" t="str">
        <f>AN47&amp;"-"&amp;AP47</f>
        <v>-</v>
      </c>
      <c r="AN48" s="2292"/>
      <c r="AO48" s="2133"/>
      <c r="AP48" s="2314"/>
      <c r="AQ48" s="2133"/>
      <c r="AR48" s="1446"/>
      <c r="AS48" s="2375"/>
      <c r="AU48" s="507"/>
      <c r="AV48" s="507" t="str">
        <f>IF(T48="","",T48)</f>
        <v/>
      </c>
      <c r="AW48" s="507"/>
      <c r="AX48" s="507"/>
      <c r="AY48" s="1162">
        <v>0</v>
      </c>
    </row>
    <row customHeight="1" ht="21">
      <c r="A49" s="1370" t="s">
        <v>255</v>
      </c>
      <c r="B49" s="1370" t="s">
        <v>256</v>
      </c>
      <c r="C49" s="1370" t="s">
        <v>257</v>
      </c>
      <c r="D49" s="1370" t="s">
        <v>540</v>
      </c>
      <c r="E49" s="2285"/>
      <c r="F49" s="2285"/>
      <c r="G49" s="2285"/>
      <c r="H49" s="2285"/>
      <c r="I49" s="2312"/>
      <c r="J49" s="2282"/>
      <c r="K49" s="1370"/>
      <c r="L49" s="1371"/>
      <c r="P49" s="2283"/>
      <c r="Q49" s="2283"/>
      <c r="R49" s="363"/>
      <c r="S49" s="1285"/>
      <c r="T49" s="294" t="s">
        <v>483</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255</v>
      </c>
      <c r="B50" s="1370" t="s">
        <v>256</v>
      </c>
      <c r="C50" s="1370" t="s">
        <v>257</v>
      </c>
      <c r="D50" s="1370" t="s">
        <v>540</v>
      </c>
      <c r="E50" s="2285"/>
      <c r="F50" s="2285"/>
      <c r="G50" s="2285"/>
      <c r="H50" s="2285"/>
      <c r="I50" s="2282"/>
      <c r="J50" s="1370"/>
      <c r="K50" s="1370"/>
      <c r="L50" s="1371"/>
      <c r="P50" s="2283"/>
      <c r="Q50" s="1488"/>
      <c r="R50" s="363"/>
      <c r="S50" s="1285"/>
      <c r="T50" s="372" t="s">
        <v>411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255</v>
      </c>
      <c r="B51" s="1370" t="s">
        <v>256</v>
      </c>
      <c r="C51" s="1370" t="s">
        <v>257</v>
      </c>
      <c r="D51" s="1370" t="s">
        <v>540</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255</v>
      </c>
      <c r="B52" s="1350" t="s">
        <v>256</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255</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517A8-FB9B-F2B9-19FE-919CF56ED4E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527</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528</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65</v>
      </c>
      <c r="AB8" s="1740"/>
      <c r="AC8" s="1476" t="s">
        <v>65</v>
      </c>
      <c r="AD8" s="2211" t="s">
        <v>65</v>
      </c>
      <c r="AE8" s="2352"/>
      <c r="AF8" s="2231">
        <v>1</v>
      </c>
      <c r="AG8" s="2389"/>
      <c r="AH8" s="2133" t="s">
        <v>65</v>
      </c>
      <c r="AI8" s="2352"/>
      <c r="AJ8" s="2231">
        <v>1</v>
      </c>
      <c r="AK8" s="2353" t="s">
        <v>22</v>
      </c>
      <c r="AL8" s="2133" t="s">
        <v>65</v>
      </c>
      <c r="AM8" s="2218"/>
      <c r="AN8" s="2231">
        <v>1</v>
      </c>
      <c r="AO8" s="2383"/>
      <c r="AP8" s="2384" t="s">
        <v>65</v>
      </c>
      <c r="AQ8" s="318"/>
      <c r="AR8" s="1493">
        <v>1</v>
      </c>
      <c r="AS8" s="1499" t="s">
        <v>22</v>
      </c>
      <c r="AT8" s="758"/>
      <c r="AU8" s="1264"/>
      <c r="AV8" s="758"/>
      <c r="AW8" s="1264"/>
      <c r="AX8" s="1740"/>
      <c r="AY8" s="1476" t="s">
        <v>65</v>
      </c>
      <c r="AZ8" s="1740"/>
      <c r="BA8" s="1476" t="s">
        <v>65</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65</v>
      </c>
      <c r="AZ20" s="1742"/>
      <c r="BA20" s="1492" t="s">
        <v>65</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Общество с ограниченной ответственностью "Сигнал", г. Серов</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260</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260</v>
      </c>
      <c r="B47" s="1370" t="s">
        <v>261</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260</v>
      </c>
      <c r="B48" s="1370" t="s">
        <v>261</v>
      </c>
      <c r="C48" s="1370" t="s">
        <v>262</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527</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528</v>
      </c>
      <c r="BE48" s="507"/>
      <c r="BF48" s="507" t="str">
        <f>IF(T48="","",T48)</f>
        <v>Наименование централизованной системы горячего водоснабжения</v>
      </c>
      <c r="BG48" s="507"/>
      <c r="BH48" s="507"/>
      <c r="BI48" s="1162">
        <v>34</v>
      </c>
    </row>
    <row s="1649" customFormat="1" customHeight="1" ht="0">
      <c r="A49" s="1350" t="s">
        <v>260</v>
      </c>
      <c r="B49" s="1350" t="s">
        <v>261</v>
      </c>
      <c r="C49" s="1350" t="s">
        <v>262</v>
      </c>
      <c r="D49" s="1350" t="s">
        <v>541</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260</v>
      </c>
      <c r="B50" s="1350" t="s">
        <v>261</v>
      </c>
      <c r="C50" s="1350" t="s">
        <v>262</v>
      </c>
      <c r="D50" s="1350" t="s">
        <v>541</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260</v>
      </c>
      <c r="B51" s="1350" t="s">
        <v>261</v>
      </c>
      <c r="C51" s="1350" t="s">
        <v>262</v>
      </c>
      <c r="D51" s="1350" t="s">
        <v>541</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260</v>
      </c>
      <c r="B52" s="1370" t="s">
        <v>261</v>
      </c>
      <c r="C52" s="1370" t="s">
        <v>262</v>
      </c>
      <c r="D52" s="1370" t="s">
        <v>541</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65</v>
      </c>
      <c r="AB52" s="1740"/>
      <c r="AC52" s="1476" t="s">
        <v>65</v>
      </c>
      <c r="AD52" s="2211" t="s">
        <v>65</v>
      </c>
      <c r="AE52" s="2352"/>
      <c r="AF52" s="2231">
        <v>1</v>
      </c>
      <c r="AG52" s="2389"/>
      <c r="AH52" s="2133" t="s">
        <v>65</v>
      </c>
      <c r="AI52" s="2352"/>
      <c r="AJ52" s="2231">
        <v>1</v>
      </c>
      <c r="AK52" s="2353" t="s">
        <v>22</v>
      </c>
      <c r="AL52" s="2133" t="s">
        <v>65</v>
      </c>
      <c r="AM52" s="2218"/>
      <c r="AN52" s="2231">
        <v>1</v>
      </c>
      <c r="AO52" s="2383"/>
      <c r="AP52" s="2384" t="s">
        <v>65</v>
      </c>
      <c r="AQ52" s="318"/>
      <c r="AR52" s="1493">
        <v>1</v>
      </c>
      <c r="AS52" s="1499" t="s">
        <v>22</v>
      </c>
      <c r="AT52" s="758"/>
      <c r="AU52" s="1264"/>
      <c r="AV52" s="758"/>
      <c r="AW52" s="1264"/>
      <c r="AX52" s="1740"/>
      <c r="AY52" s="1476" t="s">
        <v>65</v>
      </c>
      <c r="AZ52" s="1740"/>
      <c r="BA52" s="1476" t="s">
        <v>65</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260</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260</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260</v>
      </c>
      <c r="B56" s="1370" t="s">
        <v>261</v>
      </c>
      <c r="C56" s="1370" t="s">
        <v>262</v>
      </c>
      <c r="D56" s="1370" t="s">
        <v>541</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260</v>
      </c>
      <c r="B57" s="1370" t="s">
        <v>261</v>
      </c>
      <c r="C57" s="1370" t="s">
        <v>262</v>
      </c>
      <c r="D57" s="1370" t="s">
        <v>541</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260</v>
      </c>
      <c r="B58" s="1350" t="s">
        <v>261</v>
      </c>
      <c r="C58" s="1350" t="s">
        <v>262</v>
      </c>
      <c r="D58" s="1350" t="s">
        <v>541</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260</v>
      </c>
      <c r="B59" s="1350" t="s">
        <v>261</v>
      </c>
      <c r="C59" s="1350" t="s">
        <v>262</v>
      </c>
      <c r="D59" s="1350" t="s">
        <v>541</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260</v>
      </c>
      <c r="B60" s="1350" t="s">
        <v>261</v>
      </c>
      <c r="C60" s="1350" t="s">
        <v>262</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260</v>
      </c>
      <c r="B61" s="1350" t="s">
        <v>261</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260</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3F7B1-1C64-EAAB-1C74-1AA05B431F7C}" mc:Ignorable="x14ac xr xr2 xr3">
  <sheetPr>
    <tabColor theme="9" tint="-0.25"/>
  </sheetPr>
  <dimension ref="A1:AF314"/>
  <sheetViews>
    <sheetView showGridLines="0" zoomScale="90" workbookViewId="0">
      <pane xSplit="8" ySplit="29" topLeftCell="I87" activePane="bottomRight" state="frozen"/>
      <selection pane="bottomLeft" activeCell="A30" sqref="A30"/>
      <selection pane="topRight" activeCell="I1" sqref="I1"/>
      <selection pane="bottomRight" activeCell="I68" sqref="I68"/>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25"/>
      <c r="C2" s="1174" t="s">
        <v>542</v>
      </c>
      <c r="D2" s="1645"/>
      <c r="E2" s="553">
        <f>B2</f>
        <v>0</v>
      </c>
      <c r="F2" s="554"/>
      <c r="G2" s="1653" t="s">
        <v>543</v>
      </c>
      <c r="H2" s="1653" t="s">
        <v>543</v>
      </c>
      <c r="I2" s="1653" t="s">
        <v>543</v>
      </c>
      <c r="J2" s="296" t="s">
        <v>544</v>
      </c>
      <c r="K2" s="550"/>
      <c r="AF2" s="1638">
        <v>0</v>
      </c>
    </row>
    <row s="1649" customFormat="1" customHeight="1" ht="0.75" hidden="1">
      <c r="B3" s="2125"/>
      <c r="C3" s="1174"/>
      <c r="D3" s="555"/>
      <c r="E3" s="556"/>
      <c r="F3" s="557" t="s">
        <v>545</v>
      </c>
      <c r="G3" s="558"/>
      <c r="H3" s="1020">
        <f>H4*H5+H6</f>
        <v>0</v>
      </c>
      <c r="I3" s="558">
        <f>I4*I5+I6</f>
        <v>0</v>
      </c>
      <c r="J3" s="559"/>
      <c r="AF3" s="1643">
        <v>0</v>
      </c>
    </row>
    <row customHeight="1" ht="23.25" hidden="1">
      <c r="B4" s="2125"/>
      <c r="C4" s="1174"/>
      <c r="D4" s="1645"/>
      <c r="E4" s="553" t="str">
        <f>B2&amp;".1"</f>
        <v>.1</v>
      </c>
      <c r="F4" s="560" t="s">
        <v>546</v>
      </c>
      <c r="G4" s="561"/>
      <c r="H4" s="548"/>
      <c r="I4" s="548"/>
      <c r="J4" s="296" t="s">
        <v>547</v>
      </c>
      <c r="K4" s="550"/>
      <c r="AF4" s="1638">
        <v>0</v>
      </c>
    </row>
    <row customHeight="1" ht="18.75" hidden="1">
      <c r="B5" s="2125"/>
      <c r="C5" s="1174"/>
      <c r="D5" s="1645"/>
      <c r="E5" s="553" t="str">
        <f>B2&amp;".2"</f>
        <v>.2</v>
      </c>
      <c r="F5" s="560" t="s">
        <v>548</v>
      </c>
      <c r="G5" s="1653" t="s">
        <v>549</v>
      </c>
      <c r="H5" s="548"/>
      <c r="I5" s="548"/>
      <c r="J5" s="296"/>
      <c r="K5" s="550"/>
      <c r="AF5" s="1638">
        <v>0</v>
      </c>
    </row>
    <row customHeight="1" ht="18.75" hidden="1">
      <c r="B6" s="2125"/>
      <c r="C6" s="1174"/>
      <c r="D6" s="1645"/>
      <c r="E6" s="553" t="str">
        <f>B2&amp;".3"</f>
        <v>.3</v>
      </c>
      <c r="F6" s="560" t="s">
        <v>550</v>
      </c>
      <c r="G6" s="1653" t="s">
        <v>549</v>
      </c>
      <c r="H6" s="548"/>
      <c r="I6" s="548"/>
      <c r="J6" s="296"/>
      <c r="K6" s="550"/>
      <c r="AF6" s="1638">
        <v>0</v>
      </c>
    </row>
    <row customHeight="1" ht="18.75" hidden="1">
      <c r="B7" s="2125"/>
      <c r="C7" s="1174"/>
      <c r="D7" s="1645"/>
      <c r="E7" s="553" t="str">
        <f>B2&amp;".4"</f>
        <v>.4</v>
      </c>
      <c r="F7" s="560" t="s">
        <v>551</v>
      </c>
      <c r="G7" s="1653" t="s">
        <v>543</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549</v>
      </c>
      <c r="H9" s="548"/>
      <c r="I9" s="548"/>
      <c r="J9" s="549" t="s">
        <v>552</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553</v>
      </c>
      <c r="H11" s="548"/>
      <c r="I11" s="548"/>
      <c r="J11" s="296" t="s">
        <v>554</v>
      </c>
      <c r="K11" s="550"/>
      <c r="AF11" s="1638">
        <v>0</v>
      </c>
    </row>
    <row customHeight="1" ht="11.25" hidden="1">
      <c r="AF12" s="1638">
        <v>0</v>
      </c>
    </row>
    <row customHeight="1" ht="22.5" hidden="1">
      <c r="D13" s="1645"/>
      <c r="E13" s="553"/>
      <c r="F13" s="547"/>
      <c r="G13" s="976" t="s">
        <v>555</v>
      </c>
      <c r="H13" s="552"/>
      <c r="I13" s="552"/>
      <c r="J13" s="752" t="s">
        <v>556</v>
      </c>
      <c r="K13" s="550"/>
      <c r="AF13" s="1638">
        <v>0</v>
      </c>
    </row>
    <row customHeight="1" ht="11.25" hidden="1">
      <c r="AF14" s="1638">
        <v>0</v>
      </c>
    </row>
    <row customHeight="1" ht="22.5" hidden="1">
      <c r="D15" s="1645"/>
      <c r="E15" s="553"/>
      <c r="F15" s="547"/>
      <c r="G15" s="1653" t="s">
        <v>557</v>
      </c>
      <c r="H15" s="552"/>
      <c r="I15" s="552"/>
      <c r="J15" s="296" t="s">
        <v>558</v>
      </c>
      <c r="K15" s="550"/>
      <c r="AF15" s="1638">
        <v>0</v>
      </c>
    </row>
    <row customHeight="1" ht="11.25" hidden="1">
      <c r="AF16" s="1638">
        <v>0</v>
      </c>
    </row>
    <row customHeight="1" ht="22.5" hidden="1">
      <c r="D17" s="1645"/>
      <c r="E17" s="553"/>
      <c r="F17" s="547"/>
      <c r="G17" s="1653" t="s">
        <v>559</v>
      </c>
      <c r="H17" s="552"/>
      <c r="I17" s="552"/>
      <c r="J17" s="296" t="s">
        <v>560</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7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74"/>
      <c r="G21" s="2274"/>
      <c r="H21" s="2274"/>
      <c r="I21" s="2274"/>
      <c r="J21" s="563"/>
      <c r="AF21" s="1638">
        <v>24</v>
      </c>
    </row>
    <row customHeight="1" ht="25.2">
      <c r="E22" s="2275" t="str">
        <f>IF(org=0,"Не определено",org)</f>
        <v>Общество с ограниченной ответственностью "Сигнал", г. Серов</v>
      </c>
      <c r="F22" s="2275"/>
      <c r="G22" s="2275"/>
      <c r="H22" s="2275"/>
      <c r="I22" s="2275"/>
      <c r="AF22" s="1638">
        <v>24</v>
      </c>
    </row>
    <row customHeight="1" ht="11.549999999999999">
      <c r="E23" s="1142"/>
      <c r="F23" s="1142"/>
      <c r="G23" s="1142"/>
      <c r="H23" s="1142"/>
      <c r="I23" s="1142"/>
      <c r="AF23" s="1638">
        <v>11</v>
      </c>
    </row>
    <row s="1649" customFormat="1" customHeight="1" ht="1.05">
      <c r="A24" s="1174"/>
      <c r="D24" s="1649"/>
      <c r="H24" s="896"/>
      <c r="I24" s="896" t="s">
        <v>117</v>
      </c>
      <c r="AF24" s="1643">
        <v>1</v>
      </c>
    </row>
    <row customHeight="1" ht="11.549999999999999">
      <c r="E25" s="718"/>
      <c r="F25" s="2393" t="s">
        <v>105</v>
      </c>
      <c r="G25" s="2394"/>
      <c r="H25" s="1659" t="str">
        <f>IF(H24="","",INDEX(DIFFERENTIATION_UNMERGE_VD,MATCH(H24,DIFFERENTIATION_ID_DIFF,0)))</f>
        <v/>
      </c>
      <c r="I25" s="1659" t="str">
        <f>IF(I24="","",INDEX(DIFFERENTIATION_UNMERGE_VD,MATCH(I24,DIFFERENTIATION_ID_DIFF,0)))</f>
        <v>Водоотведение</v>
      </c>
      <c r="J25" s="2153"/>
      <c r="AF25" s="1638">
        <v>11</v>
      </c>
    </row>
    <row customHeight="1" ht="11.549999999999999">
      <c r="E26" s="718"/>
      <c r="F26" s="2393" t="s">
        <v>561</v>
      </c>
      <c r="G26" s="2394"/>
      <c r="H26" s="1659" t="str">
        <f>IF(H24="","",INDEX(DIFFERENTIATION_UNMERGE_AREA,MATCH(H24,DIFFERENTIATION_ID_DIFF,0)))</f>
        <v/>
      </c>
      <c r="I26" s="1659" t="str">
        <f>IF(I24="","",INDEX(DIFFERENTIATION_UNMERGE_AREA,MATCH(I24,DIFFERENTIATION_ID_DIFF,0)))</f>
        <v>Территория 1</v>
      </c>
      <c r="J26" s="2153"/>
      <c r="AF26" s="1638">
        <v>11</v>
      </c>
    </row>
    <row customHeight="1" ht="11.549999999999999">
      <c r="E27" s="718"/>
      <c r="F27" s="2393" t="s">
        <v>562</v>
      </c>
      <c r="G27" s="2394"/>
      <c r="H27" s="1659" t="str">
        <f>IF(H24="","",INDEX(DIFFERENTIATION_UNMERGE_SYSTEM,MATCH(H24,DIFFERENTIATION_ID_DIFF,0)))</f>
        <v/>
      </c>
      <c r="I27" s="1659" t="str">
        <f>IF(I24="","",INDEX(DIFFERENTIATION_UNMERGE_SYSTEM,MATCH(I24,DIFFERENTIATION_ID_DIFF,0)))</f>
        <v>без дифференциации</v>
      </c>
      <c r="J27" s="2153"/>
      <c r="AF27" s="1638">
        <v>11</v>
      </c>
    </row>
    <row customHeight="1" ht="11.549999999999999">
      <c r="E28" s="2395" t="s">
        <v>299</v>
      </c>
      <c r="F28" s="2396"/>
      <c r="G28" s="2396"/>
      <c r="H28" s="1652"/>
      <c r="I28" s="1652"/>
      <c r="J28" s="2153"/>
      <c r="AF28" s="1638">
        <v>11</v>
      </c>
    </row>
    <row customHeight="1" ht="24">
      <c r="E29" s="1653" t="s">
        <v>88</v>
      </c>
      <c r="F29" s="1660" t="s">
        <v>301</v>
      </c>
      <c r="G29" s="1660" t="s">
        <v>563</v>
      </c>
      <c r="H29" s="1660" t="s">
        <v>302</v>
      </c>
      <c r="I29" s="1660" t="s">
        <v>302</v>
      </c>
      <c r="J29" s="2153"/>
      <c r="AF29" s="1638">
        <v>23</v>
      </c>
    </row>
    <row customHeight="1" ht="20.25">
      <c r="D30" s="1645"/>
      <c r="E30" s="553">
        <f>FHD_NUM_P_1</f>
        <v>1</v>
      </c>
      <c r="F30" s="1884" t="str">
        <f>FHD_P_1</f>
        <v>Выручка от регулируемых видов деятельности в сфере водоотведения</v>
      </c>
      <c r="G30" s="1882" t="s">
        <v>549</v>
      </c>
      <c r="H30" s="564"/>
      <c r="I30" s="564">
        <v>107852.4</v>
      </c>
      <c r="J30" s="296" t="str">
        <f>FHD_NOTE_P_1</f>
        <v>Указывается выручка с распределением по видам деятельности.</v>
      </c>
      <c r="K30" s="550"/>
      <c r="AF30" s="1638">
        <v>19</v>
      </c>
    </row>
    <row customHeight="1" ht="11.549999999999999">
      <c r="D31" s="1645"/>
      <c r="E31" s="553">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549</v>
      </c>
      <c r="H31" s="565">
        <f>SUMIF($K32:$K82,$K31,H32:H82)</f>
        <v>0</v>
      </c>
      <c r="I31" s="565">
        <f>SUMIF($K32:$K82,$K31,I32:I82)</f>
        <v>137831.6</v>
      </c>
      <c r="J31" s="296" t="str">
        <f>FHD_NOTE_P_2</f>
        <v>Указывается суммарная себестоимость производимых товаров.</v>
      </c>
      <c r="K31" s="1643" t="s">
        <v>564</v>
      </c>
      <c r="AF31" s="1638">
        <v>11</v>
      </c>
    </row>
    <row customHeight="1" ht="21.75">
      <c r="D32" s="1645"/>
      <c r="E32" s="553" t="str">
        <f>FHD_NUM_P_3</f>
        <v>2.1</v>
      </c>
      <c r="F32" s="1531" t="str">
        <f>FHD_P_3</f>
        <v>Расходы на оплату услуг по приему, транспортировке и очистке сточных вод другими организациями</v>
      </c>
      <c r="G32" s="1882" t="s">
        <v>549</v>
      </c>
      <c r="H32" s="564"/>
      <c r="I32" s="564">
        <v>1594.9</v>
      </c>
      <c r="J32" s="296" t="str">
        <f>FHD_NOTE_P_3</f>
        <v/>
      </c>
      <c r="K32" s="1643" t="str">
        <f>IF((LEN(E32)-LEN(SUBSTITUTE(E32,".","")))/LEN(".")=1,"p","")</f>
        <v>p</v>
      </c>
      <c r="AF32" s="1638">
        <v>11</v>
      </c>
    </row>
    <row customHeight="1" ht="11.25" hidden="1">
      <c r="A33" s="2397" t="s">
        <v>565</v>
      </c>
      <c r="D33" s="1645"/>
      <c r="E33" s="553" t="str">
        <f>FHD_NUM_P_4</f>
        <v/>
      </c>
      <c r="F33" s="1531" t="str">
        <f>FHD_P_4</f>
        <v/>
      </c>
      <c r="G33" s="1882" t="s">
        <v>549</v>
      </c>
      <c r="H33" s="565">
        <f>SUMIF($F34:$F40,$F3,H34:H40)</f>
        <v>0</v>
      </c>
      <c r="I33" s="565">
        <f>SUMIF($F34:$F40,$F3,I34:I40)</f>
        <v>0</v>
      </c>
      <c r="J33" s="296" t="str">
        <f>FHD_NOTE_P_4</f>
        <v/>
      </c>
      <c r="K33" s="1643" t="str">
        <f>IF((LEN(E33)-LEN(SUBSTITUTE(E33,".","")))/LEN(".")=1,"p","")</f>
        <v/>
      </c>
      <c r="AF33" s="1638">
        <v>0</v>
      </c>
    </row>
    <row s="1648" customFormat="1" customHeight="1" ht="0.75" hidden="1">
      <c r="A34" s="2397"/>
      <c r="B34" s="2398"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97"/>
      <c r="B35" s="2398"/>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97"/>
      <c r="B36" s="2398"/>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97"/>
      <c r="B37" s="2398"/>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97"/>
      <c r="B38" s="2398"/>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97"/>
      <c r="B39" s="2398"/>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97"/>
      <c r="C40" s="1643"/>
      <c r="D40" s="1640"/>
      <c r="E40" s="577"/>
      <c r="F40" s="578" t="s">
        <v>566</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97" t="s">
        <v>567</v>
      </c>
      <c r="D41" s="1645"/>
      <c r="E41" s="553" t="str">
        <f>FHD_NUM_P_5</f>
        <v/>
      </c>
      <c r="F41" s="1531" t="str">
        <f>FHD_P_5</f>
        <v/>
      </c>
      <c r="G41" s="1882" t="s">
        <v>549</v>
      </c>
      <c r="H41" s="564"/>
      <c r="I41" s="564"/>
      <c r="J41" s="296" t="str">
        <f>FHD_NOTE_P_5</f>
        <v/>
      </c>
      <c r="K41" s="1643" t="str">
        <f>IF((LEN(E41)-LEN(SUBSTITUTE(E41,".","")))/LEN(".")=1,"p","")</f>
        <v/>
      </c>
      <c r="AF41" s="1638">
        <v>0</v>
      </c>
    </row>
    <row customHeight="1" ht="11.25" hidden="1">
      <c r="A42" s="2397"/>
      <c r="D42" s="1645"/>
      <c r="E42" s="553" t="str">
        <f>FHD_NUM_P_6</f>
        <v/>
      </c>
      <c r="F42" s="1531" t="str">
        <f>FHD_P_6</f>
        <v/>
      </c>
      <c r="G42" s="1882" t="s">
        <v>549</v>
      </c>
      <c r="H42" s="564"/>
      <c r="I42" s="564"/>
      <c r="J42" s="296" t="str">
        <f>FHD_NOTE_P_6</f>
        <v/>
      </c>
      <c r="K42" s="1643" t="str">
        <f>IF((LEN(E42)-LEN(SUBSTITUTE(E42,".","")))/LEN(".")=1,"p","")</f>
        <v/>
      </c>
      <c r="AF42" s="1638">
        <v>0</v>
      </c>
    </row>
    <row customHeight="1" ht="11.25" hidden="1">
      <c r="A43" s="2397"/>
      <c r="D43" s="1645"/>
      <c r="E43" s="553" t="str">
        <f>FHD_NUM_P_7</f>
        <v/>
      </c>
      <c r="F43" s="1531" t="str">
        <f>FHD_P_7</f>
        <v/>
      </c>
      <c r="G43" s="1882" t="s">
        <v>549</v>
      </c>
      <c r="H43" s="564"/>
      <c r="I43" s="564"/>
      <c r="J43" s="296" t="str">
        <f>FHD_NOTE_P_7</f>
        <v/>
      </c>
      <c r="K43" s="1643" t="str">
        <f>IF((LEN(E43)-LEN(SUBSTITUTE(E43,".","")))/LEN(".")=1,"p","")</f>
        <v/>
      </c>
      <c r="AF43" s="1638">
        <v>0</v>
      </c>
    </row>
    <row customHeight="1" ht="20.25">
      <c r="D44" s="1645"/>
      <c r="E44" s="553" t="str">
        <f>FHD_NUM_P_8</f>
        <v>2.2</v>
      </c>
      <c r="F44" s="1531" t="str">
        <f>FHD_P_8</f>
        <v>Расходы на приобретаемую электрическую энергию (мощность), используемую в технологическом процессе</v>
      </c>
      <c r="G44" s="1882" t="s">
        <v>549</v>
      </c>
      <c r="H44" s="564"/>
      <c r="I44" s="564">
        <v>13279.1</v>
      </c>
      <c r="J44" s="296" t="str">
        <f>FHD_NOTE_P_8</f>
        <v/>
      </c>
      <c r="K44" s="1643" t="str">
        <f>IF((LEN(E44)-LEN(SUBSTITUTE(E44,".","")))/LEN(".")=1,"p","")</f>
        <v>p</v>
      </c>
      <c r="AF44" s="1638">
        <v>11</v>
      </c>
    </row>
    <row customHeight="1" ht="11.549999999999999">
      <c r="D45" s="1645"/>
      <c r="E45" s="553" t="str">
        <f>FHD_NUM_P_9</f>
        <v>2.2.1</v>
      </c>
      <c r="F45" s="1657" t="str">
        <f>FHD_P_9</f>
        <v>Средневзвешенная стоимость 1 кВт.ч (с учетом мощности)</v>
      </c>
      <c r="G45" s="1882" t="s">
        <v>568</v>
      </c>
      <c r="H45" s="564"/>
      <c r="I45" s="564">
        <v>5.514</v>
      </c>
      <c r="J45" s="296" t="str">
        <f>FHD_NOTE_P_9</f>
        <v/>
      </c>
      <c r="K45" s="1643" t="str">
        <f>IF((LEN(E45)-LEN(SUBSTITUTE(E45,".","")))/LEN(".")=1,"p","")</f>
        <v/>
      </c>
      <c r="AF45" s="1638">
        <v>11</v>
      </c>
    </row>
    <row s="1373" customFormat="1" customHeight="1" ht="11.549999999999999">
      <c r="A46" s="994"/>
      <c r="C46" s="1643"/>
      <c r="D46" s="581"/>
      <c r="E46" s="553" t="str">
        <f>FHD_NUM_P_10</f>
        <v>2.2.2</v>
      </c>
      <c r="F46" s="1657" t="str">
        <f>FHD_P_10</f>
        <v>Объём приобретения электрической энергии</v>
      </c>
      <c r="G46" s="1882" t="s">
        <v>569</v>
      </c>
      <c r="H46" s="564"/>
      <c r="I46" s="564">
        <v>2408.012</v>
      </c>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570</v>
      </c>
      <c r="C47" s="1643"/>
      <c r="D47" s="582"/>
      <c r="E47" s="553" t="str">
        <f>FHD_NUM_P_11</f>
        <v/>
      </c>
      <c r="F47" s="1531" t="str">
        <f>FHD_P_11</f>
        <v/>
      </c>
      <c r="G47" s="1882" t="s">
        <v>549</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c r="A48" s="996" t="s">
        <v>571</v>
      </c>
      <c r="C48" s="1643"/>
      <c r="D48" s="1645"/>
      <c r="E48" s="553" t="str">
        <f>FHD_NUM_P_12</f>
        <v>2.3</v>
      </c>
      <c r="F48" s="1531" t="str">
        <f>FHD_P_12</f>
        <v>Расходы на химические реагенты, используемые в технологическом процессе</v>
      </c>
      <c r="G48" s="1882" t="s">
        <v>549</v>
      </c>
      <c r="H48" s="584"/>
      <c r="I48" s="584">
        <v>1730.1</v>
      </c>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30">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549</v>
      </c>
      <c r="H49" s="564"/>
      <c r="I49" s="564">
        <v>41193.6</v>
      </c>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24">
      <c r="A50" s="995"/>
      <c r="C50" s="737"/>
      <c r="D50" s="680"/>
      <c r="E50" s="553" t="str">
        <f>FHD_NUM_P_14</f>
        <v>2.4.1</v>
      </c>
      <c r="F50" s="1657" t="str">
        <f>FHD_P_14</f>
        <v>Расходы на оплату труда основного производственного персонала</v>
      </c>
      <c r="G50" s="1882" t="s">
        <v>549</v>
      </c>
      <c r="H50" s="564"/>
      <c r="I50" s="564">
        <v>32967.5</v>
      </c>
      <c r="J50" s="296" t="str">
        <f>FHD_NOTE_P_14</f>
        <v/>
      </c>
      <c r="K50" s="1643" t="str">
        <f>IF((LEN(E50)-LEN(SUBSTITUTE(E50,".","")))/LEN(".")=1,"p","")</f>
        <v/>
      </c>
      <c r="L50" s="737"/>
      <c r="M50" s="737"/>
      <c r="R50" s="737"/>
      <c r="U50" s="738"/>
      <c r="AA50" s="739"/>
      <c r="AB50" s="739"/>
      <c r="AC50" s="739"/>
      <c r="AD50" s="739"/>
      <c r="AE50" s="739"/>
      <c r="AF50" s="736">
        <v>11</v>
      </c>
    </row>
    <row s="1372" customFormat="1" customHeight="1" ht="29.25">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549</v>
      </c>
      <c r="H51" s="564"/>
      <c r="I51" s="564">
        <v>8226.1</v>
      </c>
      <c r="J51" s="296" t="str">
        <f>FHD_NOTE_P_15</f>
        <v/>
      </c>
      <c r="K51" s="1643" t="str">
        <f>IF((LEN(E51)-LEN(SUBSTITUTE(E51,".","")))/LEN(".")=1,"p","")</f>
        <v/>
      </c>
      <c r="L51" s="737"/>
      <c r="M51" s="737"/>
      <c r="R51" s="737"/>
      <c r="U51" s="738"/>
      <c r="AA51" s="739"/>
      <c r="AB51" s="739"/>
      <c r="AC51" s="739"/>
      <c r="AD51" s="739"/>
      <c r="AE51" s="739"/>
      <c r="AF51" s="736">
        <v>11</v>
      </c>
    </row>
    <row s="1373" customFormat="1" customHeight="1" ht="35.25">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549</v>
      </c>
      <c r="H52" s="564"/>
      <c r="I52" s="564">
        <v>20298.6</v>
      </c>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27">
      <c r="A53" s="994"/>
      <c r="C53" s="1643"/>
      <c r="D53" s="1645"/>
      <c r="E53" s="553" t="str">
        <f>FHD_NUM_P_17</f>
        <v>2.5.1</v>
      </c>
      <c r="F53" s="1657" t="str">
        <f>FHD_P_17</f>
        <v>Расходы на оплату труда административно-управленческого персонала, в том числе:</v>
      </c>
      <c r="G53" s="1882" t="s">
        <v>549</v>
      </c>
      <c r="H53" s="564"/>
      <c r="I53" s="564">
        <v>20298.6</v>
      </c>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36.75">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549</v>
      </c>
      <c r="H54" s="564"/>
      <c r="I54" s="564">
        <v>3599.4</v>
      </c>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2.6</v>
      </c>
      <c r="F55" s="1531" t="str">
        <f>FHD_P_19</f>
        <v>Расходы на амортизацию основных средств и нематериальных активов</v>
      </c>
      <c r="G55" s="1882" t="s">
        <v>549</v>
      </c>
      <c r="H55" s="564"/>
      <c r="I55" s="564">
        <v>0</v>
      </c>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2.6.1</v>
      </c>
      <c r="F56" s="1657" t="str">
        <f>FHD_P_20</f>
        <v>Расходы на амортизацию основных средств</v>
      </c>
      <c r="G56" s="1882" t="s">
        <v>549</v>
      </c>
      <c r="H56" s="564"/>
      <c r="I56" s="564">
        <v>0</v>
      </c>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2" t="s">
        <v>549</v>
      </c>
      <c r="H57" s="564"/>
      <c r="I57" s="564">
        <v>0</v>
      </c>
      <c r="J57" s="296" t="str">
        <f>FHD_NOTE_P_21</f>
        <v/>
      </c>
      <c r="K57" s="1643" t="str">
        <f>IF((LEN(E57)-LEN(SUBSTITUTE(E57,".","")))/LEN(".")=1,"p","")</f>
        <v/>
      </c>
      <c r="L57" s="1643"/>
      <c r="M57" s="1643"/>
      <c r="R57" s="1643"/>
      <c r="U57" s="551"/>
      <c r="AA57" s="1639"/>
      <c r="AB57" s="1639"/>
      <c r="AC57" s="1639"/>
      <c r="AD57" s="1639"/>
      <c r="AE57" s="1639"/>
      <c r="AF57" s="1167">
        <v>11</v>
      </c>
    </row>
    <row s="1373" customFormat="1" customHeight="1" ht="36.75">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водоотведения</v>
      </c>
      <c r="G58" s="1882" t="s">
        <v>549</v>
      </c>
      <c r="H58" s="564"/>
      <c r="I58" s="564">
        <v>5002.3</v>
      </c>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2.8</v>
      </c>
      <c r="F59" s="1531" t="str">
        <f>FHD_P_23</f>
        <v>Общепроизводственные расходы, в том числе:</v>
      </c>
      <c r="G59" s="1882" t="s">
        <v>549</v>
      </c>
      <c r="H59" s="564"/>
      <c r="I59" s="564">
        <v>6098.3</v>
      </c>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2.8.1</v>
      </c>
      <c r="F60" s="1657" t="str">
        <f>FHD_P_24</f>
        <v>Расходы на текущий ремонт</v>
      </c>
      <c r="G60" s="1882" t="s">
        <v>549</v>
      </c>
      <c r="H60" s="564"/>
      <c r="I60" s="564">
        <v>0</v>
      </c>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2" t="s">
        <v>549</v>
      </c>
      <c r="H61" s="564"/>
      <c r="I61" s="564">
        <v>0</v>
      </c>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2" t="s">
        <v>549</v>
      </c>
      <c r="H62" s="564"/>
      <c r="I62" s="564">
        <v>6932.5</v>
      </c>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2.9.1</v>
      </c>
      <c r="F63" s="1657" t="str">
        <f>FHD_P_27</f>
        <v>Расходы на текущий ремонт</v>
      </c>
      <c r="G63" s="1882" t="s">
        <v>549</v>
      </c>
      <c r="H63" s="564"/>
      <c r="I63" s="564">
        <v>0</v>
      </c>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2" t="s">
        <v>549</v>
      </c>
      <c r="H64" s="564"/>
      <c r="I64" s="564">
        <v>0</v>
      </c>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2.10</v>
      </c>
      <c r="F65" s="1531" t="str">
        <f>FHD_P_29</f>
        <v>Расходы на капитальный и текущий ремонт основных средств</v>
      </c>
      <c r="G65" s="1882" t="s">
        <v>549</v>
      </c>
      <c r="H65" s="564"/>
      <c r="I65" s="564">
        <v>19768</v>
      </c>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305</v>
      </c>
      <c r="H66" s="1656" t="s">
        <v>572</v>
      </c>
      <c r="I66" s="1656" t="s">
        <v>572</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97" t="s">
        <v>573</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549</v>
      </c>
      <c r="H67" s="564"/>
      <c r="I67" s="564">
        <v>0</v>
      </c>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97"/>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305</v>
      </c>
      <c r="H68" s="1656" t="s">
        <v>572</v>
      </c>
      <c r="I68" s="1656" t="s">
        <v>572</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51">
      <c r="A69" s="994"/>
      <c r="C69" s="1643"/>
      <c r="D69" s="1645"/>
      <c r="E69" s="553" t="str">
        <f>FHD_NUM_P_33</f>
        <v>2.12</v>
      </c>
      <c r="F69" s="153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549</v>
      </c>
      <c r="H69" s="586">
        <f>SUM(H70:H82)</f>
        <v>0</v>
      </c>
      <c r="I69" s="586">
        <f>SUM(I70:I82)</f>
        <v>21934.2</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639" customFormat="1" customHeight="1" ht="22.5">
      <c r="A71" s="994"/>
      <c r="B71" s="1373"/>
      <c r="C71" s="1649"/>
      <c r="D71" s="690" t="s">
        <v>574</v>
      </c>
      <c r="E71" s="2338" t="str">
        <f>E69&amp;".1"</f>
        <v>2.12.1</v>
      </c>
      <c r="F71" s="547" t="s">
        <v>575</v>
      </c>
      <c r="G71" s="2338" t="s">
        <v>549</v>
      </c>
      <c r="H71" s="758"/>
      <c r="I71" s="758">
        <v>921.1</v>
      </c>
      <c r="J71" s="549" t="s">
        <v>552</v>
      </c>
      <c r="K71" s="741"/>
      <c r="L71" s="1649"/>
      <c r="M71" s="1649"/>
      <c r="N71" s="1373"/>
      <c r="O71" s="1373"/>
      <c r="P71" s="1373"/>
      <c r="Q71" s="1373"/>
      <c r="R71" s="1649"/>
      <c r="S71" s="1373"/>
      <c r="T71" s="1373"/>
      <c r="U71" s="743"/>
      <c r="V71" s="1373"/>
      <c r="W71" s="1373"/>
      <c r="X71" s="1373"/>
      <c r="Y71" s="1373"/>
      <c r="Z71" s="1373"/>
      <c r="AA71" s="1639"/>
      <c r="AB71" s="1639"/>
      <c r="AC71" s="1639"/>
      <c r="AD71" s="1639"/>
      <c r="AE71" s="1639"/>
      <c r="AF71" s="1373">
        <v>0</v>
      </c>
    </row>
    <row s="1639" customFormat="1" customHeight="1" ht="22.5">
      <c r="A72" s="994"/>
      <c r="B72" s="1373"/>
      <c r="C72" s="1649"/>
      <c r="D72" s="690" t="s">
        <v>574</v>
      </c>
      <c r="E72" s="2338" t="str">
        <f>E69&amp;".2"</f>
        <v>2.12.2</v>
      </c>
      <c r="F72" s="547" t="s">
        <v>576</v>
      </c>
      <c r="G72" s="2338" t="s">
        <v>549</v>
      </c>
      <c r="H72" s="758"/>
      <c r="I72" s="758">
        <v>249.9</v>
      </c>
      <c r="J72" s="549" t="s">
        <v>552</v>
      </c>
      <c r="K72" s="741"/>
      <c r="L72" s="1649"/>
      <c r="M72" s="1649"/>
      <c r="N72" s="1373"/>
      <c r="O72" s="1373"/>
      <c r="P72" s="1373"/>
      <c r="Q72" s="1373"/>
      <c r="R72" s="1649"/>
      <c r="S72" s="1373"/>
      <c r="T72" s="1373"/>
      <c r="U72" s="743"/>
      <c r="V72" s="1373"/>
      <c r="W72" s="1373"/>
      <c r="X72" s="1373"/>
      <c r="Y72" s="1373"/>
      <c r="Z72" s="1373"/>
      <c r="AA72" s="1639"/>
      <c r="AB72" s="1639"/>
      <c r="AC72" s="1639"/>
      <c r="AD72" s="1639"/>
      <c r="AE72" s="1639"/>
      <c r="AF72" s="1373">
        <v>0</v>
      </c>
    </row>
    <row s="1639" customFormat="1" customHeight="1" ht="22.5">
      <c r="A73" s="994"/>
      <c r="B73" s="1373"/>
      <c r="C73" s="1649"/>
      <c r="D73" s="690" t="s">
        <v>574</v>
      </c>
      <c r="E73" s="2338" t="str">
        <f>E69&amp;".3"</f>
        <v>2.12.3</v>
      </c>
      <c r="F73" s="547" t="s">
        <v>577</v>
      </c>
      <c r="G73" s="2338" t="s">
        <v>549</v>
      </c>
      <c r="H73" s="758"/>
      <c r="I73" s="758">
        <v>1623.1</v>
      </c>
      <c r="J73" s="549" t="s">
        <v>552</v>
      </c>
      <c r="K73" s="741"/>
      <c r="L73" s="1649"/>
      <c r="M73" s="1649"/>
      <c r="N73" s="1373"/>
      <c r="O73" s="1373"/>
      <c r="P73" s="1373"/>
      <c r="Q73" s="1373"/>
      <c r="R73" s="1649"/>
      <c r="S73" s="1373"/>
      <c r="T73" s="1373"/>
      <c r="U73" s="743"/>
      <c r="V73" s="1373"/>
      <c r="W73" s="1373"/>
      <c r="X73" s="1373"/>
      <c r="Y73" s="1373"/>
      <c r="Z73" s="1373"/>
      <c r="AA73" s="1639"/>
      <c r="AB73" s="1639"/>
      <c r="AC73" s="1639"/>
      <c r="AD73" s="1639"/>
      <c r="AE73" s="1639"/>
      <c r="AF73" s="1373">
        <v>0</v>
      </c>
    </row>
    <row s="1639" customFormat="1" customHeight="1" ht="22.5">
      <c r="A74" s="994"/>
      <c r="B74" s="1373"/>
      <c r="C74" s="1649"/>
      <c r="D74" s="690" t="s">
        <v>574</v>
      </c>
      <c r="E74" s="2338" t="str">
        <f>E69&amp;".4"</f>
        <v>2.12.4</v>
      </c>
      <c r="F74" s="547" t="s">
        <v>578</v>
      </c>
      <c r="G74" s="2338" t="s">
        <v>549</v>
      </c>
      <c r="H74" s="758"/>
      <c r="I74" s="758">
        <v>61.7</v>
      </c>
      <c r="J74" s="549" t="s">
        <v>552</v>
      </c>
      <c r="K74" s="741"/>
      <c r="L74" s="1649"/>
      <c r="M74" s="1649"/>
      <c r="N74" s="1373"/>
      <c r="O74" s="1373"/>
      <c r="P74" s="1373"/>
      <c r="Q74" s="1373"/>
      <c r="R74" s="1649"/>
      <c r="S74" s="1373"/>
      <c r="T74" s="1373"/>
      <c r="U74" s="743"/>
      <c r="V74" s="1373"/>
      <c r="W74" s="1373"/>
      <c r="X74" s="1373"/>
      <c r="Y74" s="1373"/>
      <c r="Z74" s="1373"/>
      <c r="AA74" s="1639"/>
      <c r="AB74" s="1639"/>
      <c r="AC74" s="1639"/>
      <c r="AD74" s="1639"/>
      <c r="AE74" s="1639"/>
      <c r="AF74" s="1373">
        <v>0</v>
      </c>
    </row>
    <row s="1639" customFormat="1" customHeight="1" ht="22.5">
      <c r="A75" s="994"/>
      <c r="B75" s="1373"/>
      <c r="C75" s="1649"/>
      <c r="D75" s="690" t="s">
        <v>574</v>
      </c>
      <c r="E75" s="2338" t="str">
        <f>E69&amp;".5"</f>
        <v>2.12.5</v>
      </c>
      <c r="F75" s="547" t="s">
        <v>579</v>
      </c>
      <c r="G75" s="2338" t="s">
        <v>549</v>
      </c>
      <c r="H75" s="758"/>
      <c r="I75" s="758">
        <v>3</v>
      </c>
      <c r="J75" s="549" t="s">
        <v>552</v>
      </c>
      <c r="K75" s="741"/>
      <c r="L75" s="1649"/>
      <c r="M75" s="1649"/>
      <c r="N75" s="1373"/>
      <c r="O75" s="1373"/>
      <c r="P75" s="1373"/>
      <c r="Q75" s="1373"/>
      <c r="R75" s="1649"/>
      <c r="S75" s="1373"/>
      <c r="T75" s="1373"/>
      <c r="U75" s="743"/>
      <c r="V75" s="1373"/>
      <c r="W75" s="1373"/>
      <c r="X75" s="1373"/>
      <c r="Y75" s="1373"/>
      <c r="Z75" s="1373"/>
      <c r="AA75" s="1639"/>
      <c r="AB75" s="1639"/>
      <c r="AC75" s="1639"/>
      <c r="AD75" s="1639"/>
      <c r="AE75" s="1639"/>
      <c r="AF75" s="1373">
        <v>0</v>
      </c>
    </row>
    <row s="1639" customFormat="1" customHeight="1" ht="22.5">
      <c r="A76" s="994"/>
      <c r="B76" s="1373"/>
      <c r="C76" s="1649"/>
      <c r="D76" s="690" t="s">
        <v>574</v>
      </c>
      <c r="E76" s="2338" t="str">
        <f>E69&amp;".6"</f>
        <v>2.12.6</v>
      </c>
      <c r="F76" s="547" t="s">
        <v>580</v>
      </c>
      <c r="G76" s="2338" t="s">
        <v>549</v>
      </c>
      <c r="H76" s="758"/>
      <c r="I76" s="758">
        <v>410.8</v>
      </c>
      <c r="J76" s="549" t="s">
        <v>552</v>
      </c>
      <c r="K76" s="741"/>
      <c r="L76" s="1649"/>
      <c r="M76" s="1649"/>
      <c r="N76" s="1373"/>
      <c r="O76" s="1373"/>
      <c r="P76" s="1373"/>
      <c r="Q76" s="1373"/>
      <c r="R76" s="1649"/>
      <c r="S76" s="1373"/>
      <c r="T76" s="1373"/>
      <c r="U76" s="743"/>
      <c r="V76" s="1373"/>
      <c r="W76" s="1373"/>
      <c r="X76" s="1373"/>
      <c r="Y76" s="1373"/>
      <c r="Z76" s="1373"/>
      <c r="AA76" s="1639"/>
      <c r="AB76" s="1639"/>
      <c r="AC76" s="1639"/>
      <c r="AD76" s="1639"/>
      <c r="AE76" s="1639"/>
      <c r="AF76" s="1373">
        <v>0</v>
      </c>
    </row>
    <row s="1639" customFormat="1" customHeight="1" ht="22.5">
      <c r="A77" s="994"/>
      <c r="B77" s="1373"/>
      <c r="C77" s="1649"/>
      <c r="D77" s="690" t="s">
        <v>574</v>
      </c>
      <c r="E77" s="2338" t="str">
        <f>E69&amp;".7"</f>
        <v>2.12.7</v>
      </c>
      <c r="F77" s="547" t="s">
        <v>581</v>
      </c>
      <c r="G77" s="2338" t="s">
        <v>549</v>
      </c>
      <c r="H77" s="758"/>
      <c r="I77" s="758">
        <v>381</v>
      </c>
      <c r="J77" s="549" t="s">
        <v>552</v>
      </c>
      <c r="K77" s="741"/>
      <c r="L77" s="1649"/>
      <c r="M77" s="1649"/>
      <c r="N77" s="1373"/>
      <c r="O77" s="1373"/>
      <c r="P77" s="1373"/>
      <c r="Q77" s="1373"/>
      <c r="R77" s="1649"/>
      <c r="S77" s="1373"/>
      <c r="T77" s="1373"/>
      <c r="U77" s="743"/>
      <c r="V77" s="1373"/>
      <c r="W77" s="1373"/>
      <c r="X77" s="1373"/>
      <c r="Y77" s="1373"/>
      <c r="Z77" s="1373"/>
      <c r="AA77" s="1639"/>
      <c r="AB77" s="1639"/>
      <c r="AC77" s="1639"/>
      <c r="AD77" s="1639"/>
      <c r="AE77" s="1639"/>
      <c r="AF77" s="1373">
        <v>0</v>
      </c>
    </row>
    <row s="1639" customFormat="1" customHeight="1" ht="22.5">
      <c r="A78" s="994"/>
      <c r="B78" s="1373"/>
      <c r="C78" s="1649"/>
      <c r="D78" s="690" t="s">
        <v>574</v>
      </c>
      <c r="E78" s="2338" t="str">
        <f>E69&amp;".8"</f>
        <v>2.12.8</v>
      </c>
      <c r="F78" s="547" t="s">
        <v>582</v>
      </c>
      <c r="G78" s="2338" t="s">
        <v>549</v>
      </c>
      <c r="H78" s="758"/>
      <c r="I78" s="758">
        <v>2975.7</v>
      </c>
      <c r="J78" s="549" t="s">
        <v>552</v>
      </c>
      <c r="K78" s="741"/>
      <c r="L78" s="1649"/>
      <c r="M78" s="1649"/>
      <c r="N78" s="1373"/>
      <c r="O78" s="1373"/>
      <c r="P78" s="1373"/>
      <c r="Q78" s="1373"/>
      <c r="R78" s="1649"/>
      <c r="S78" s="1373"/>
      <c r="T78" s="1373"/>
      <c r="U78" s="743"/>
      <c r="V78" s="1373"/>
      <c r="W78" s="1373"/>
      <c r="X78" s="1373"/>
      <c r="Y78" s="1373"/>
      <c r="Z78" s="1373"/>
      <c r="AA78" s="1639"/>
      <c r="AB78" s="1639"/>
      <c r="AC78" s="1639"/>
      <c r="AD78" s="1639"/>
      <c r="AE78" s="1639"/>
      <c r="AF78" s="1373">
        <v>0</v>
      </c>
    </row>
    <row s="1639" customFormat="1" customHeight="1" ht="22.5">
      <c r="A79" s="994"/>
      <c r="B79" s="1373"/>
      <c r="C79" s="1649"/>
      <c r="D79" s="690" t="s">
        <v>574</v>
      </c>
      <c r="E79" s="2338" t="str">
        <f>E69&amp;".9"</f>
        <v>2.12.9</v>
      </c>
      <c r="F79" s="547" t="s">
        <v>583</v>
      </c>
      <c r="G79" s="2338" t="s">
        <v>549</v>
      </c>
      <c r="H79" s="758"/>
      <c r="I79" s="758">
        <v>5309.8</v>
      </c>
      <c r="J79" s="549" t="s">
        <v>552</v>
      </c>
      <c r="K79" s="741"/>
      <c r="L79" s="1649"/>
      <c r="M79" s="1649"/>
      <c r="N79" s="1373"/>
      <c r="O79" s="1373"/>
      <c r="P79" s="1373"/>
      <c r="Q79" s="1373"/>
      <c r="R79" s="1649"/>
      <c r="S79" s="1373"/>
      <c r="T79" s="1373"/>
      <c r="U79" s="743"/>
      <c r="V79" s="1373"/>
      <c r="W79" s="1373"/>
      <c r="X79" s="1373"/>
      <c r="Y79" s="1373"/>
      <c r="Z79" s="1373"/>
      <c r="AA79" s="1639"/>
      <c r="AB79" s="1639"/>
      <c r="AC79" s="1639"/>
      <c r="AD79" s="1639"/>
      <c r="AE79" s="1639"/>
      <c r="AF79" s="1373">
        <v>0</v>
      </c>
    </row>
    <row s="1639" customFormat="1" customHeight="1" ht="22.5">
      <c r="A80" s="994"/>
      <c r="B80" s="1373"/>
      <c r="C80" s="1649"/>
      <c r="D80" s="690" t="s">
        <v>574</v>
      </c>
      <c r="E80" s="2338" t="str">
        <f>E69&amp;".10"</f>
        <v>2.12.10</v>
      </c>
      <c r="F80" s="547" t="s">
        <v>584</v>
      </c>
      <c r="G80" s="2338" t="s">
        <v>549</v>
      </c>
      <c r="H80" s="758"/>
      <c r="I80" s="758">
        <v>5025.4</v>
      </c>
      <c r="J80" s="549" t="s">
        <v>552</v>
      </c>
      <c r="K80" s="741"/>
      <c r="L80" s="1649"/>
      <c r="M80" s="1649"/>
      <c r="N80" s="1373"/>
      <c r="O80" s="1373"/>
      <c r="P80" s="1373"/>
      <c r="Q80" s="1373"/>
      <c r="R80" s="1649"/>
      <c r="S80" s="1373"/>
      <c r="T80" s="1373"/>
      <c r="U80" s="743"/>
      <c r="V80" s="1373"/>
      <c r="W80" s="1373"/>
      <c r="X80" s="1373"/>
      <c r="Y80" s="1373"/>
      <c r="Z80" s="1373"/>
      <c r="AA80" s="1639"/>
      <c r="AB80" s="1639"/>
      <c r="AC80" s="1639"/>
      <c r="AD80" s="1639"/>
      <c r="AE80" s="1639"/>
      <c r="AF80" s="1373">
        <v>0</v>
      </c>
    </row>
    <row s="1639" customFormat="1" customHeight="1" ht="22.5">
      <c r="A81" s="994"/>
      <c r="B81" s="1373"/>
      <c r="C81" s="1649"/>
      <c r="D81" s="690" t="s">
        <v>574</v>
      </c>
      <c r="E81" s="2392" t="str">
        <f>E69&amp;".11"</f>
        <v>2.12.11</v>
      </c>
      <c r="F81" s="547" t="s">
        <v>585</v>
      </c>
      <c r="G81" s="2392" t="s">
        <v>549</v>
      </c>
      <c r="H81" s="758"/>
      <c r="I81" s="758">
        <v>4972.7</v>
      </c>
      <c r="J81" s="549" t="s">
        <v>552</v>
      </c>
      <c r="K81" s="741"/>
      <c r="L81" s="1649"/>
      <c r="M81" s="1649"/>
      <c r="N81" s="1373"/>
      <c r="O81" s="1373"/>
      <c r="P81" s="1373"/>
      <c r="Q81" s="1373"/>
      <c r="R81" s="1649"/>
      <c r="S81" s="1373"/>
      <c r="T81" s="1373"/>
      <c r="U81" s="743"/>
      <c r="V81" s="1373"/>
      <c r="W81" s="1373"/>
      <c r="X81" s="1373"/>
      <c r="Y81" s="1373"/>
      <c r="Z81" s="1373"/>
      <c r="AA81" s="1639"/>
      <c r="AB81" s="1639"/>
      <c r="AC81" s="1639"/>
      <c r="AD81" s="1639"/>
      <c r="AE81" s="1639"/>
      <c r="AF81" s="1373">
        <v>0</v>
      </c>
    </row>
    <row s="1373" customFormat="1" customHeight="1" ht="14.699999999999998">
      <c r="A82" s="994"/>
      <c r="C82" s="1643"/>
      <c r="D82" s="1640"/>
      <c r="E82" s="577"/>
      <c r="F82" s="578" t="s">
        <v>586</v>
      </c>
      <c r="G82" s="579"/>
      <c r="H82" s="580"/>
      <c r="I82" s="580"/>
      <c r="J82" s="308"/>
      <c r="K82" s="1643"/>
      <c r="L82" s="1643"/>
      <c r="M82" s="1643"/>
      <c r="R82" s="1643"/>
      <c r="U82" s="551"/>
      <c r="AA82" s="1639"/>
      <c r="AB82" s="1639"/>
      <c r="AC82" s="1639"/>
      <c r="AD82" s="1639"/>
      <c r="AE82" s="1639"/>
      <c r="AF82" s="1167">
        <v>14</v>
      </c>
    </row>
    <row s="1373" customFormat="1" customHeight="1" ht="18.75" hidden="1">
      <c r="A83" s="996" t="s">
        <v>587</v>
      </c>
      <c r="C83" s="1643"/>
      <c r="D83" s="1645"/>
      <c r="E83" s="553" t="str">
        <f>FHD_NUM_P_34</f>
        <v/>
      </c>
      <c r="F83" s="1884" t="str">
        <f>FHD_P_34</f>
        <v/>
      </c>
      <c r="G83" s="1882" t="s">
        <v>549</v>
      </c>
      <c r="H83" s="564"/>
      <c r="I83" s="564"/>
      <c r="J83" s="296" t="str">
        <f>FHD_NOTE_P_34</f>
        <v/>
      </c>
      <c r="K83" s="550"/>
      <c r="L83" s="1643"/>
      <c r="M83" s="1643"/>
      <c r="R83" s="1643"/>
      <c r="U83" s="551"/>
      <c r="AA83" s="1639"/>
      <c r="AB83" s="1639"/>
      <c r="AC83" s="1639"/>
      <c r="AD83" s="1639"/>
      <c r="AE83" s="1639"/>
      <c r="AF83" s="1167">
        <v>0</v>
      </c>
    </row>
    <row s="1373" customFormat="1" customHeight="1" ht="20.25">
      <c r="A84" s="994"/>
      <c r="C84" s="1643"/>
      <c r="D84" s="582"/>
      <c r="E84" s="553" t="str">
        <f>FHD_NUM_P_35</f>
        <v>3</v>
      </c>
      <c r="F84" s="1884" t="str">
        <f>FHD_P_35</f>
        <v>Чистая прибыль, полученная от регулируемого вида деятельности в сфере водоотведения, в том числе:</v>
      </c>
      <c r="G84" s="1882" t="s">
        <v>549</v>
      </c>
      <c r="H84" s="564"/>
      <c r="I84" s="564">
        <v>-29979.2</v>
      </c>
      <c r="J84" s="296" t="str">
        <f>FHD_NOTE_P_35</f>
        <v>Указывается общая сумма чистой прибыли, полученной от регулируемого вида деятельности.</v>
      </c>
      <c r="K84" s="550"/>
      <c r="L84" s="1643"/>
      <c r="M84" s="1643"/>
      <c r="R84" s="1643"/>
      <c r="U84" s="551"/>
      <c r="AA84" s="1639"/>
      <c r="AB84" s="1639"/>
      <c r="AC84" s="1639"/>
      <c r="AD84" s="1639"/>
      <c r="AE84" s="1639"/>
      <c r="AF84" s="1167">
        <v>19</v>
      </c>
    </row>
    <row s="1373" customFormat="1" customHeight="1" ht="36.75">
      <c r="A85" s="994"/>
      <c r="C85" s="1643"/>
      <c r="D85" s="1645"/>
      <c r="E85" s="553" t="str">
        <f>FHD_NUM_P_36</f>
        <v>3.1</v>
      </c>
      <c r="F85"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85" s="1882" t="s">
        <v>549</v>
      </c>
      <c r="H85" s="564"/>
      <c r="I85" s="564">
        <v>663.4</v>
      </c>
      <c r="J85" s="296" t="str">
        <f>FHD_NOTE_P_36</f>
        <v/>
      </c>
      <c r="K85" s="550"/>
      <c r="L85" s="1643"/>
      <c r="M85" s="1643"/>
      <c r="R85" s="1643"/>
      <c r="U85" s="551"/>
      <c r="AA85" s="1639"/>
      <c r="AB85" s="1639"/>
      <c r="AC85" s="1639"/>
      <c r="AD85" s="1639"/>
      <c r="AE85" s="1639"/>
      <c r="AF85" s="1167">
        <v>19</v>
      </c>
    </row>
    <row s="1373" customFormat="1" customHeight="1" ht="19.95">
      <c r="A86" s="994"/>
      <c r="C86" s="1643"/>
      <c r="D86" s="1645"/>
      <c r="E86" s="553" t="str">
        <f>FHD_NUM_P_37</f>
        <v>4</v>
      </c>
      <c r="F86" s="1884" t="str">
        <f>FHD_P_37</f>
        <v>Изменение стоимости основных фондов, в том числе:</v>
      </c>
      <c r="G86" s="1882" t="s">
        <v>549</v>
      </c>
      <c r="H86" s="564"/>
      <c r="I86" s="564">
        <v>0</v>
      </c>
      <c r="J86" s="296" t="str">
        <f>FHD_NOTE_P_37</f>
        <v>Указывается общее изменение стоимости основных фондов.</v>
      </c>
      <c r="K86" s="550"/>
      <c r="L86" s="1643"/>
      <c r="M86" s="1643"/>
      <c r="R86" s="1643"/>
      <c r="U86" s="551"/>
      <c r="AA86" s="1639"/>
      <c r="AB86" s="1639"/>
      <c r="AC86" s="1639"/>
      <c r="AD86" s="1639"/>
      <c r="AE86" s="1639"/>
      <c r="AF86" s="1167">
        <v>19</v>
      </c>
    </row>
    <row s="1373" customFormat="1" customHeight="1" ht="19.95">
      <c r="A87" s="994"/>
      <c r="C87" s="1643"/>
      <c r="D87" s="1645"/>
      <c r="E87" s="553" t="str">
        <f>FHD_NUM_P_38</f>
        <v>4.1</v>
      </c>
      <c r="F87" s="1531" t="str">
        <f>FHD_P_38</f>
        <v>Изменение стоимости основных фондов за счет их ввода в эксплуатацию (вывода из эксплуатации)</v>
      </c>
      <c r="G87" s="1882" t="s">
        <v>549</v>
      </c>
      <c r="H87" s="564"/>
      <c r="I87" s="564">
        <v>0</v>
      </c>
      <c r="J87" s="296" t="str">
        <f>FHD_NOTE_P_38</f>
        <v>Указываются общее изменение стоимости основных фондов за счет их ввода в эксплуатацию и вывода из эксплуатации.</v>
      </c>
      <c r="K87" s="550"/>
      <c r="L87" s="1643"/>
      <c r="M87" s="1643"/>
      <c r="R87" s="1643"/>
      <c r="U87" s="551"/>
      <c r="AA87" s="1639"/>
      <c r="AB87" s="1639"/>
      <c r="AC87" s="1639"/>
      <c r="AD87" s="1639"/>
      <c r="AE87" s="1639"/>
      <c r="AF87" s="1167">
        <v>19</v>
      </c>
    </row>
    <row s="1373" customFormat="1" customHeight="1" ht="19.95">
      <c r="A88" s="994"/>
      <c r="C88" s="1643"/>
      <c r="D88" s="1645"/>
      <c r="E88" s="553" t="str">
        <f>FHD_NUM_P_39</f>
        <v>4.1.1</v>
      </c>
      <c r="F88" s="1657" t="str">
        <f>FHD_P_39</f>
        <v>Изменение стоимости основных фондов за счет их ввода в эксплуатацию</v>
      </c>
      <c r="G88" s="2076" t="s">
        <v>549</v>
      </c>
      <c r="H88" s="564"/>
      <c r="I88" s="564">
        <v>0</v>
      </c>
      <c r="J88" s="296" t="str">
        <f>FHD_NOTE_P_39</f>
        <v>Указываются изменение стоимости основных фондов за счет их ввода в эксплуатацию.</v>
      </c>
      <c r="K88" s="550"/>
      <c r="L88" s="1643"/>
      <c r="M88" s="1643"/>
      <c r="R88" s="1643"/>
      <c r="U88" s="551"/>
      <c r="AA88" s="1639"/>
      <c r="AB88" s="1639"/>
      <c r="AC88" s="1639"/>
      <c r="AD88" s="1639"/>
      <c r="AE88" s="1639"/>
      <c r="AF88" s="1167">
        <v>19</v>
      </c>
    </row>
    <row s="1373" customFormat="1" customHeight="1" ht="19.95">
      <c r="A89" s="994"/>
      <c r="C89" s="1643"/>
      <c r="D89" s="1645"/>
      <c r="E89" s="553" t="str">
        <f>FHD_NUM_P_40</f>
        <v>4.1.2</v>
      </c>
      <c r="F89" s="2080" t="str">
        <f>FHD_P_40</f>
        <v>Изменение стоимости основных фондов за счет их вывода в эксплуатацию</v>
      </c>
      <c r="G89" s="2075" t="s">
        <v>549</v>
      </c>
      <c r="H89" s="983"/>
      <c r="I89" s="564">
        <v>0</v>
      </c>
      <c r="J89" s="296" t="str">
        <f>FHD_NOTE_P_40</f>
        <v>Указываются изменение стоимости основных фондов за счет их вывода из эксплуатации.</v>
      </c>
      <c r="K89" s="550"/>
      <c r="L89" s="1643"/>
      <c r="M89" s="1643"/>
      <c r="R89" s="1643"/>
      <c r="U89" s="551"/>
      <c r="AA89" s="1639"/>
      <c r="AB89" s="1639"/>
      <c r="AC89" s="1639"/>
      <c r="AD89" s="1639"/>
      <c r="AE89" s="1639"/>
      <c r="AF89" s="1167">
        <v>19</v>
      </c>
    </row>
    <row s="1373" customFormat="1" customHeight="1" ht="19.95">
      <c r="A90" s="994"/>
      <c r="C90" s="1643"/>
      <c r="D90" s="1645"/>
      <c r="E90" s="553" t="str">
        <f>FHD_NUM_P_41</f>
        <v>4.2</v>
      </c>
      <c r="F90" s="2079" t="str">
        <f>FHD_P_41</f>
        <v>Изменение стоимости основных фондов за счет их переоценки</v>
      </c>
      <c r="G90" s="2075" t="s">
        <v>549</v>
      </c>
      <c r="H90" s="983"/>
      <c r="I90" s="564">
        <v>0</v>
      </c>
      <c r="J90" s="296" t="str">
        <f>FHD_NOTE_P_41</f>
        <v/>
      </c>
      <c r="K90" s="550"/>
      <c r="L90" s="1643"/>
      <c r="M90" s="1643"/>
      <c r="R90" s="1643"/>
      <c r="U90" s="551"/>
      <c r="AA90" s="1639"/>
      <c r="AB90" s="1639"/>
      <c r="AC90" s="1639"/>
      <c r="AD90" s="1639"/>
      <c r="AE90" s="1639"/>
      <c r="AF90" s="1167">
        <v>19</v>
      </c>
    </row>
    <row s="1373" customFormat="1" customHeight="1" ht="20.25">
      <c r="A91" s="996" t="s">
        <v>588</v>
      </c>
      <c r="C91" s="1643"/>
      <c r="D91" s="1645"/>
      <c r="E91" s="553" t="str">
        <f>FHD_NUM_P_42</f>
        <v>5</v>
      </c>
      <c r="F91" s="2077" t="str">
        <f>FHD_P_42</f>
        <v>Валовая прибыль (убытки) от продажи товаров и услуг по регулируемым видам деятельности в сфере водоотведения</v>
      </c>
      <c r="G91" s="2075" t="s">
        <v>549</v>
      </c>
      <c r="H91" s="983"/>
      <c r="I91" s="564">
        <v>-29979.2</v>
      </c>
      <c r="J91" s="296" t="str">
        <f>FHD_NOTE_P_42</f>
        <v/>
      </c>
      <c r="K91" s="550"/>
      <c r="L91" s="1643"/>
      <c r="M91" s="1643"/>
      <c r="R91" s="1643"/>
      <c r="U91" s="551"/>
      <c r="AA91" s="1639"/>
      <c r="AB91" s="1639"/>
      <c r="AC91" s="1639"/>
      <c r="AD91" s="1639"/>
      <c r="AE91" s="1639"/>
      <c r="AF91" s="1167">
        <v>19</v>
      </c>
    </row>
    <row s="1373" customFormat="1" customHeight="1" ht="20.25">
      <c r="A92" s="994"/>
      <c r="C92" s="1643" t="s">
        <v>589</v>
      </c>
      <c r="D92" s="1645"/>
      <c r="E92" s="553" t="str">
        <f>FHD_NUM_P_43</f>
        <v>6</v>
      </c>
      <c r="F92" s="1884" t="str">
        <f>FHD_P_43</f>
        <v>Годовая бухгалтерская (финансовая) отчетность, включая бухгалтерский баланс и приложения к нему</v>
      </c>
      <c r="G92" s="2078" t="s">
        <v>305</v>
      </c>
      <c r="H92" s="1062"/>
      <c r="I92" s="2840" t="s">
        <v>590</v>
      </c>
      <c r="J92"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2" s="550"/>
      <c r="L92" s="1643"/>
      <c r="M92" s="1643"/>
      <c r="R92" s="1643"/>
      <c r="U92" s="551"/>
      <c r="AA92" s="1639"/>
      <c r="AB92" s="1639"/>
      <c r="AC92" s="1639"/>
      <c r="AD92" s="1639"/>
      <c r="AE92" s="1639"/>
      <c r="AF92" s="1167">
        <v>19</v>
      </c>
    </row>
    <row s="1373" customFormat="1" customHeight="1" ht="18.75" hidden="1">
      <c r="A93" s="2397" t="s">
        <v>591</v>
      </c>
      <c r="C93" s="742"/>
      <c r="D93" s="740"/>
      <c r="E93" s="553" t="str">
        <f>FHD_NUM_P_44</f>
        <v/>
      </c>
      <c r="F93" s="1884" t="str">
        <f>FHD_P_44</f>
        <v/>
      </c>
      <c r="G93" s="1885" t="s">
        <v>592</v>
      </c>
      <c r="H93" s="984"/>
      <c r="I93" s="584"/>
      <c r="J93" s="296" t="str">
        <f>FHD_NOTE_P_44</f>
        <v/>
      </c>
      <c r="K93" s="741"/>
      <c r="L93" s="742"/>
      <c r="M93" s="742"/>
      <c r="R93" s="742"/>
      <c r="U93" s="743"/>
      <c r="AA93" s="744"/>
      <c r="AB93" s="744"/>
      <c r="AC93" s="744"/>
      <c r="AD93" s="744"/>
      <c r="AE93" s="744"/>
      <c r="AF93" s="917">
        <v>0</v>
      </c>
    </row>
    <row s="1373" customFormat="1" customHeight="1" ht="18.75" hidden="1">
      <c r="A94" s="2397"/>
      <c r="C94" s="742"/>
      <c r="D94" s="740"/>
      <c r="E94" s="553" t="str">
        <f>FHD_NUM_P_45</f>
        <v/>
      </c>
      <c r="F94" s="1884" t="str">
        <f>FHD_P_45</f>
        <v/>
      </c>
      <c r="G94" s="1885" t="s">
        <v>592</v>
      </c>
      <c r="H94" s="984"/>
      <c r="I94" s="584"/>
      <c r="J94" s="296" t="str">
        <f>FHD_NOTE_P_45</f>
        <v/>
      </c>
      <c r="K94" s="741"/>
      <c r="L94" s="742"/>
      <c r="M94" s="742"/>
      <c r="R94" s="742"/>
      <c r="U94" s="743"/>
      <c r="AA94" s="744"/>
      <c r="AB94" s="744"/>
      <c r="AC94" s="744"/>
      <c r="AD94" s="744"/>
      <c r="AE94" s="744"/>
      <c r="AF94" s="917">
        <v>0</v>
      </c>
    </row>
    <row s="1373" customFormat="1" customHeight="1" ht="18.75" hidden="1">
      <c r="A95" s="2397"/>
      <c r="C95" s="742"/>
      <c r="D95" s="745"/>
      <c r="E95" s="553" t="str">
        <f>FHD_NUM_P_46</f>
        <v/>
      </c>
      <c r="F95" s="1884" t="str">
        <f>FHD_P_46</f>
        <v/>
      </c>
      <c r="G95" s="1885" t="s">
        <v>592</v>
      </c>
      <c r="H95" s="984"/>
      <c r="I95" s="584"/>
      <c r="J95" s="296" t="str">
        <f>FHD_NOTE_P_46</f>
        <v/>
      </c>
      <c r="K95" s="741"/>
      <c r="L95" s="742"/>
      <c r="M95" s="742"/>
      <c r="R95" s="742"/>
      <c r="U95" s="743"/>
      <c r="AA95" s="744"/>
      <c r="AB95" s="744"/>
      <c r="AC95" s="744"/>
      <c r="AD95" s="744"/>
      <c r="AE95" s="744"/>
      <c r="AF95" s="917">
        <v>0</v>
      </c>
    </row>
    <row s="1373" customFormat="1" customHeight="1" ht="18.75" hidden="1">
      <c r="A96" s="2397"/>
      <c r="C96" s="742"/>
      <c r="D96" s="740"/>
      <c r="E96" s="553" t="str">
        <f>FHD_NUM_P_47</f>
        <v/>
      </c>
      <c r="F96" s="1884" t="str">
        <f>FHD_P_47</f>
        <v/>
      </c>
      <c r="G96" s="1885" t="s">
        <v>592</v>
      </c>
      <c r="H96" s="984"/>
      <c r="I96" s="584"/>
      <c r="J96" s="296" t="str">
        <f>FHD_NOTE_P_47</f>
        <v/>
      </c>
      <c r="K96" s="741"/>
      <c r="L96" s="742"/>
      <c r="M96" s="742"/>
      <c r="R96" s="742"/>
      <c r="U96" s="743"/>
      <c r="AA96" s="744"/>
      <c r="AB96" s="744"/>
      <c r="AC96" s="744"/>
      <c r="AD96" s="744"/>
      <c r="AE96" s="744"/>
      <c r="AF96" s="917">
        <v>0</v>
      </c>
    </row>
    <row s="1642" customFormat="1" customHeight="1" ht="18.75" hidden="1">
      <c r="A97" s="2397"/>
      <c r="B97" s="917"/>
      <c r="C97" s="742"/>
      <c r="D97" s="740"/>
      <c r="E97" s="553" t="str">
        <f>FHD_NUM_P_48</f>
        <v/>
      </c>
      <c r="F97" s="1884" t="str">
        <f>FHD_P_48</f>
        <v/>
      </c>
      <c r="G97" s="1885" t="s">
        <v>592</v>
      </c>
      <c r="H97" s="984"/>
      <c r="I97" s="584"/>
      <c r="J97" s="296" t="str">
        <f>FHD_NOTE_P_48</f>
        <v/>
      </c>
      <c r="K97" s="741"/>
      <c r="L97" s="742"/>
      <c r="M97" s="742"/>
      <c r="N97" s="917"/>
      <c r="O97" s="917"/>
      <c r="P97" s="917"/>
      <c r="Q97" s="917"/>
      <c r="R97" s="742"/>
      <c r="S97" s="917"/>
      <c r="T97" s="917"/>
      <c r="U97" s="743"/>
      <c r="V97" s="917"/>
      <c r="W97" s="917"/>
      <c r="X97" s="917"/>
      <c r="Y97" s="917"/>
      <c r="Z97" s="917"/>
      <c r="AA97" s="744"/>
      <c r="AB97" s="744"/>
      <c r="AC97" s="744"/>
      <c r="AD97" s="744"/>
      <c r="AE97" s="744"/>
      <c r="AF97" s="746">
        <v>0</v>
      </c>
    </row>
    <row s="1642" customFormat="1" customHeight="1" ht="18.75" hidden="1">
      <c r="A98" s="2397"/>
      <c r="B98" s="917"/>
      <c r="C98" s="742"/>
      <c r="D98" s="740"/>
      <c r="E98" s="553" t="str">
        <f>FHD_NUM_P_49</f>
        <v/>
      </c>
      <c r="F98" s="1884" t="str">
        <f>FHD_P_49</f>
        <v/>
      </c>
      <c r="G98" s="1885" t="s">
        <v>592</v>
      </c>
      <c r="H98" s="985">
        <f>SUM(H99:H100)</f>
        <v>0</v>
      </c>
      <c r="I98" s="756">
        <f>SUM(I99:I100)</f>
        <v>0</v>
      </c>
      <c r="J98" s="296" t="str">
        <f>FHD_NOTE_P_49</f>
        <v/>
      </c>
      <c r="K98" s="741"/>
      <c r="L98" s="742"/>
      <c r="M98" s="742"/>
      <c r="N98" s="917"/>
      <c r="O98" s="917"/>
      <c r="P98" s="917"/>
      <c r="Q98" s="917"/>
      <c r="R98" s="742"/>
      <c r="S98" s="917"/>
      <c r="T98" s="917"/>
      <c r="U98" s="743"/>
      <c r="V98" s="917"/>
      <c r="W98" s="917"/>
      <c r="X98" s="917"/>
      <c r="Y98" s="917"/>
      <c r="Z98" s="917"/>
      <c r="AA98" s="744"/>
      <c r="AB98" s="744"/>
      <c r="AC98" s="744"/>
      <c r="AD98" s="744"/>
      <c r="AE98" s="744"/>
      <c r="AF98" s="746">
        <v>0</v>
      </c>
    </row>
    <row s="1642" customFormat="1" customHeight="1" ht="18.75" hidden="1">
      <c r="A99" s="2397"/>
      <c r="B99" s="917"/>
      <c r="C99" s="742"/>
      <c r="D99" s="740"/>
      <c r="E99" s="553" t="str">
        <f>FHD_NUM_P_50</f>
        <v/>
      </c>
      <c r="F99" s="1884" t="str">
        <f>FHD_P_50</f>
        <v/>
      </c>
      <c r="G99" s="1885" t="s">
        <v>592</v>
      </c>
      <c r="H99" s="984"/>
      <c r="I99" s="584"/>
      <c r="J99" s="296" t="str">
        <f>FHD_NOTE_P_50</f>
        <v/>
      </c>
      <c r="K99" s="741"/>
      <c r="L99" s="742"/>
      <c r="M99" s="742"/>
      <c r="N99" s="917"/>
      <c r="O99" s="917"/>
      <c r="P99" s="917"/>
      <c r="Q99" s="917"/>
      <c r="R99" s="742"/>
      <c r="S99" s="917"/>
      <c r="T99" s="917"/>
      <c r="U99" s="743"/>
      <c r="V99" s="917"/>
      <c r="W99" s="917"/>
      <c r="X99" s="917"/>
      <c r="Y99" s="917"/>
      <c r="Z99" s="917"/>
      <c r="AA99" s="744"/>
      <c r="AB99" s="744"/>
      <c r="AC99" s="744"/>
      <c r="AD99" s="744"/>
      <c r="AE99" s="744"/>
      <c r="AF99" s="746">
        <v>0</v>
      </c>
    </row>
    <row s="1642" customFormat="1" customHeight="1" ht="18.75" hidden="1">
      <c r="A100" s="2397"/>
      <c r="B100" s="917"/>
      <c r="C100" s="742"/>
      <c r="D100" s="740"/>
      <c r="E100" s="553" t="str">
        <f>FHD_NUM_P_51</f>
        <v/>
      </c>
      <c r="F100" s="1884" t="str">
        <f>FHD_P_51</f>
        <v/>
      </c>
      <c r="G100" s="1885" t="s">
        <v>592</v>
      </c>
      <c r="H100" s="984"/>
      <c r="I100" s="584"/>
      <c r="J100" s="296" t="str">
        <f>FHD_NOTE_P_51</f>
        <v/>
      </c>
      <c r="K100" s="741"/>
      <c r="L100" s="742"/>
      <c r="M100" s="742"/>
      <c r="N100" s="917"/>
      <c r="O100" s="917"/>
      <c r="P100" s="917"/>
      <c r="Q100" s="917"/>
      <c r="R100" s="742"/>
      <c r="S100" s="917"/>
      <c r="T100" s="917"/>
      <c r="U100" s="743"/>
      <c r="V100" s="917"/>
      <c r="W100" s="917"/>
      <c r="X100" s="917"/>
      <c r="Y100" s="917"/>
      <c r="Z100" s="917"/>
      <c r="AA100" s="744"/>
      <c r="AB100" s="744"/>
      <c r="AC100" s="744"/>
      <c r="AD100" s="744"/>
      <c r="AE100" s="744"/>
      <c r="AF100" s="746">
        <v>0</v>
      </c>
    </row>
    <row s="1642" customFormat="1" customHeight="1" ht="18.75" hidden="1">
      <c r="A101" s="2397"/>
      <c r="B101" s="917"/>
      <c r="C101" s="742"/>
      <c r="D101" s="740"/>
      <c r="E101" s="553" t="str">
        <f>FHD_NUM_P_52</f>
        <v/>
      </c>
      <c r="F101" s="1884" t="str">
        <f>FHD_P_52</f>
        <v/>
      </c>
      <c r="G101" s="1885" t="s">
        <v>555</v>
      </c>
      <c r="H101" s="983"/>
      <c r="I101" s="564"/>
      <c r="J101" s="296" t="str">
        <f>FHD_NOTE_P_52</f>
        <v/>
      </c>
      <c r="K101" s="741"/>
      <c r="L101" s="742"/>
      <c r="M101" s="742"/>
      <c r="N101" s="917"/>
      <c r="O101" s="917"/>
      <c r="P101" s="917"/>
      <c r="Q101" s="917"/>
      <c r="R101" s="742"/>
      <c r="S101" s="917"/>
      <c r="T101" s="917"/>
      <c r="U101" s="743"/>
      <c r="V101" s="917"/>
      <c r="W101" s="917"/>
      <c r="X101" s="917"/>
      <c r="Y101" s="917"/>
      <c r="Z101" s="917"/>
      <c r="AA101" s="744"/>
      <c r="AB101" s="744"/>
      <c r="AC101" s="744"/>
      <c r="AD101" s="744"/>
      <c r="AE101" s="744"/>
      <c r="AF101" s="746">
        <v>0</v>
      </c>
    </row>
    <row s="1373" customFormat="1" customHeight="1" ht="18.75" hidden="1">
      <c r="A102" s="2399" t="s">
        <v>593</v>
      </c>
      <c r="C102" s="742"/>
      <c r="D102" s="740"/>
      <c r="E102" s="553" t="str">
        <f>FHD_NUM_P_53</f>
        <v/>
      </c>
      <c r="F102" s="1884" t="str">
        <f>FHD_P_53</f>
        <v/>
      </c>
      <c r="G102" s="1885" t="s">
        <v>592</v>
      </c>
      <c r="H102" s="984"/>
      <c r="I102" s="584"/>
      <c r="J102" s="296" t="str">
        <f>FHD_NOTE_P_53</f>
        <v/>
      </c>
      <c r="K102" s="741"/>
      <c r="L102" s="742"/>
      <c r="M102" s="742"/>
      <c r="R102" s="742"/>
      <c r="U102" s="743"/>
      <c r="AA102" s="744"/>
      <c r="AB102" s="744"/>
      <c r="AC102" s="744"/>
      <c r="AD102" s="744"/>
      <c r="AE102" s="744"/>
      <c r="AF102" s="917">
        <v>0</v>
      </c>
    </row>
    <row s="1373" customFormat="1" customHeight="1" ht="18.75" hidden="1">
      <c r="A103" s="2399"/>
      <c r="C103" s="742"/>
      <c r="D103" s="740"/>
      <c r="E103" s="553" t="str">
        <f>FHD_NUM_P_54</f>
        <v/>
      </c>
      <c r="F103" s="1884" t="str">
        <f>FHD_P_54</f>
        <v/>
      </c>
      <c r="G103" s="1885" t="s">
        <v>592</v>
      </c>
      <c r="H103" s="984"/>
      <c r="I103" s="584"/>
      <c r="J103" s="296" t="str">
        <f>FHD_NOTE_P_54</f>
        <v/>
      </c>
      <c r="K103" s="741"/>
      <c r="L103" s="742"/>
      <c r="M103" s="742"/>
      <c r="R103" s="742"/>
      <c r="U103" s="743"/>
      <c r="AA103" s="744"/>
      <c r="AB103" s="744"/>
      <c r="AC103" s="744"/>
      <c r="AD103" s="744"/>
      <c r="AE103" s="744"/>
      <c r="AF103" s="917">
        <v>0</v>
      </c>
    </row>
    <row s="1373" customFormat="1" customHeight="1" ht="18.75" hidden="1">
      <c r="A104" s="2399"/>
      <c r="C104" s="742"/>
      <c r="D104" s="745"/>
      <c r="E104" s="553" t="str">
        <f>FHD_NUM_P_55</f>
        <v/>
      </c>
      <c r="F104" s="1884" t="str">
        <f>FHD_P_55</f>
        <v/>
      </c>
      <c r="G104" s="1888"/>
      <c r="H104" s="984"/>
      <c r="I104" s="584"/>
      <c r="J104" s="296" t="str">
        <f>FHD_NOTE_P_55</f>
        <v/>
      </c>
      <c r="K104" s="741"/>
      <c r="L104" s="742"/>
      <c r="M104" s="742"/>
      <c r="R104" s="742"/>
      <c r="U104" s="743"/>
      <c r="AA104" s="744"/>
      <c r="AB104" s="744"/>
      <c r="AC104" s="744"/>
      <c r="AD104" s="744"/>
      <c r="AE104" s="744"/>
      <c r="AF104" s="917">
        <v>0</v>
      </c>
    </row>
    <row s="1373" customFormat="1" customHeight="1" ht="18.75" hidden="1">
      <c r="A105" s="2399"/>
      <c r="C105" s="742"/>
      <c r="D105" s="740"/>
      <c r="E105" s="553" t="str">
        <f>FHD_NUM_P_56</f>
        <v/>
      </c>
      <c r="F105" s="1884" t="str">
        <f>FHD_P_56</f>
        <v/>
      </c>
      <c r="G105" s="1885" t="s">
        <v>594</v>
      </c>
      <c r="H105" s="984"/>
      <c r="I105" s="584"/>
      <c r="J105" s="296" t="str">
        <f>FHD_NOTE_P_56</f>
        <v/>
      </c>
      <c r="K105" s="741"/>
      <c r="L105" s="742"/>
      <c r="M105" s="742"/>
      <c r="R105" s="742"/>
      <c r="U105" s="743"/>
      <c r="AA105" s="744"/>
      <c r="AB105" s="744"/>
      <c r="AC105" s="744"/>
      <c r="AD105" s="744"/>
      <c r="AE105" s="744"/>
      <c r="AF105" s="917">
        <v>0</v>
      </c>
    </row>
    <row s="1642" customFormat="1" customHeight="1" ht="18.75" hidden="1">
      <c r="A106" s="2399"/>
      <c r="B106" s="917"/>
      <c r="C106" s="742"/>
      <c r="D106" s="740"/>
      <c r="E106" s="553" t="str">
        <f>FHD_NUM_P_57</f>
        <v/>
      </c>
      <c r="F106" s="1884" t="str">
        <f>FHD_P_57</f>
        <v/>
      </c>
      <c r="G106" s="1885" t="s">
        <v>555</v>
      </c>
      <c r="H106" s="983"/>
      <c r="I106" s="564"/>
      <c r="J106" s="296" t="str">
        <f>FHD_NOTE_P_57</f>
        <v/>
      </c>
      <c r="K106" s="741"/>
      <c r="L106" s="742"/>
      <c r="M106" s="742"/>
      <c r="N106" s="917"/>
      <c r="O106" s="917"/>
      <c r="P106" s="917"/>
      <c r="Q106" s="917"/>
      <c r="R106" s="742"/>
      <c r="S106" s="917"/>
      <c r="T106" s="917"/>
      <c r="U106" s="743"/>
      <c r="V106" s="917"/>
      <c r="W106" s="917"/>
      <c r="X106" s="917"/>
      <c r="Y106" s="917"/>
      <c r="Z106" s="917"/>
      <c r="AA106" s="744"/>
      <c r="AB106" s="744"/>
      <c r="AC106" s="744"/>
      <c r="AD106" s="744"/>
      <c r="AE106" s="744"/>
      <c r="AF106" s="746">
        <v>0</v>
      </c>
    </row>
    <row customHeight="1" ht="18.75">
      <c r="A107" s="2397" t="s">
        <v>595</v>
      </c>
      <c r="D107" s="1645"/>
      <c r="E107" s="553" t="str">
        <f>FHD_NUM_P_58</f>
        <v>7</v>
      </c>
      <c r="F107" s="1884" t="str">
        <f>FHD_P_58</f>
        <v>Объём сточных вод, принятых от потребителей</v>
      </c>
      <c r="G107" s="1885" t="s">
        <v>592</v>
      </c>
      <c r="H107" s="984"/>
      <c r="I107" s="584">
        <v>6134.3</v>
      </c>
      <c r="J107" s="296" t="str">
        <f>FHD_NOTE_P_58</f>
        <v/>
      </c>
      <c r="K107" s="550"/>
      <c r="AF107" s="1638">
        <v>0</v>
      </c>
    </row>
    <row customHeight="1" ht="34.5">
      <c r="A108" s="2397"/>
      <c r="D108" s="1645"/>
      <c r="E108" s="553" t="str">
        <f>FHD_NUM_P_59</f>
        <v>8</v>
      </c>
      <c r="F108" s="1884" t="str">
        <f>FHD_P_59</f>
        <v>Объём сточных вод, принятых от других регулируемых организаций, осуществляющих водоотведение и (или) очистку сточных вод</v>
      </c>
      <c r="G108" s="1885" t="s">
        <v>592</v>
      </c>
      <c r="H108" s="984"/>
      <c r="I108" s="584">
        <v>15</v>
      </c>
      <c r="J108" s="296" t="str">
        <f>FHD_NOTE_P_59</f>
        <v/>
      </c>
      <c r="K108" s="550"/>
      <c r="AF108" s="1638">
        <v>0</v>
      </c>
    </row>
    <row customHeight="1" ht="18.75">
      <c r="A109" s="2397"/>
      <c r="D109" s="1645"/>
      <c r="E109" s="553" t="str">
        <f>FHD_NUM_P_60</f>
        <v>9</v>
      </c>
      <c r="F109" s="1884" t="str">
        <f>FHD_P_60</f>
        <v>Объём сточных вод, пропущенных через очистные сооружения</v>
      </c>
      <c r="G109" s="1885" t="s">
        <v>592</v>
      </c>
      <c r="H109" s="984"/>
      <c r="I109" s="584">
        <v>6119.3</v>
      </c>
      <c r="J109" s="296" t="str">
        <f>FHD_NOTE_P_60</f>
        <v/>
      </c>
      <c r="K109" s="550"/>
      <c r="AF109" s="1638">
        <v>0</v>
      </c>
    </row>
    <row s="1373" customFormat="1" customHeight="1" ht="18.75" hidden="1">
      <c r="A110" s="2397" t="s">
        <v>596</v>
      </c>
      <c r="C110" s="1643"/>
      <c r="D110" s="1645"/>
      <c r="E110" s="553" t="str">
        <f>FHD_NUM_P_61</f>
        <v/>
      </c>
      <c r="F110" s="1884" t="str">
        <f>FHD_P_61</f>
        <v/>
      </c>
      <c r="G110" s="1882" t="s">
        <v>553</v>
      </c>
      <c r="H110" s="986"/>
      <c r="I110" s="749"/>
      <c r="J110" s="296" t="str">
        <f>FHD_NOTE_P_61</f>
        <v/>
      </c>
      <c r="K110" s="550"/>
      <c r="L110" s="1643"/>
      <c r="M110" s="1643"/>
      <c r="R110" s="1643"/>
      <c r="U110" s="551"/>
      <c r="AA110" s="1639"/>
      <c r="AB110" s="1639"/>
      <c r="AC110" s="1639"/>
      <c r="AD110" s="1639"/>
      <c r="AE110" s="1639"/>
      <c r="AF110" s="1167">
        <v>0</v>
      </c>
    </row>
    <row s="1649" customFormat="1" customHeight="1" ht="0.75" hidden="1">
      <c r="A111" s="2397"/>
      <c r="D111" s="555"/>
      <c r="E111" s="1020" t="str">
        <f>E110&amp;".0"</f>
        <v>.0</v>
      </c>
      <c r="F111" s="1001"/>
      <c r="G111" s="1002"/>
      <c r="H111" s="999"/>
      <c r="I111" s="999"/>
      <c r="J111" s="1003"/>
      <c r="AF111" s="1643">
        <v>0</v>
      </c>
    </row>
    <row customHeight="1" ht="15" hidden="1">
      <c r="A112" s="2397"/>
      <c r="D112" s="1640"/>
      <c r="E112" s="978"/>
      <c r="F112" s="979" t="s">
        <v>597</v>
      </c>
      <c r="G112" s="579"/>
      <c r="H112" s="580"/>
      <c r="I112" s="580"/>
      <c r="J112" s="1011" t="s">
        <v>598</v>
      </c>
      <c r="K112" s="550"/>
      <c r="AF112" s="1638">
        <v>0</v>
      </c>
    </row>
    <row s="1373" customFormat="1" customHeight="1" ht="18.75" hidden="1">
      <c r="A113" s="2397"/>
      <c r="C113" s="1643"/>
      <c r="D113" s="1645"/>
      <c r="E113" s="553" t="str">
        <f>FHD_NUM_P_62</f>
        <v/>
      </c>
      <c r="F113" s="1884" t="str">
        <f>FHD_P_62</f>
        <v/>
      </c>
      <c r="G113" s="1881" t="s">
        <v>553</v>
      </c>
      <c r="H113" s="564"/>
      <c r="I113" s="564"/>
      <c r="J113" s="296" t="str">
        <f>FHD_NOTE_P_62</f>
        <v/>
      </c>
      <c r="K113" s="550"/>
      <c r="L113" s="1643"/>
      <c r="M113" s="1643"/>
      <c r="R113" s="1643"/>
      <c r="U113" s="551"/>
      <c r="AA113" s="1639"/>
      <c r="AB113" s="1639"/>
      <c r="AC113" s="1639"/>
      <c r="AD113" s="1639"/>
      <c r="AE113" s="1639"/>
      <c r="AF113" s="1167">
        <v>0</v>
      </c>
    </row>
    <row s="1373" customFormat="1" customHeight="1" ht="18.75" hidden="1">
      <c r="A114" s="2397"/>
      <c r="C114" s="1643"/>
      <c r="D114" s="1645"/>
      <c r="E114" s="553" t="str">
        <f>FHD_NUM_P_63</f>
        <v/>
      </c>
      <c r="F114" s="1884" t="str">
        <f>FHD_P_63</f>
        <v/>
      </c>
      <c r="G114" s="1881" t="s">
        <v>594</v>
      </c>
      <c r="H114" s="584"/>
      <c r="I114" s="584"/>
      <c r="J114" s="296" t="str">
        <f>FHD_NOTE_P_63</f>
        <v/>
      </c>
      <c r="K114" s="550"/>
      <c r="L114" s="1643"/>
      <c r="M114" s="1643"/>
      <c r="R114" s="1643"/>
      <c r="U114" s="551"/>
      <c r="AA114" s="1639"/>
      <c r="AB114" s="1639"/>
      <c r="AC114" s="1639"/>
      <c r="AD114" s="1639"/>
      <c r="AE114" s="1639"/>
      <c r="AF114" s="1167">
        <v>0</v>
      </c>
    </row>
    <row s="1373" customFormat="1" customHeight="1" ht="18.75" hidden="1">
      <c r="A115" s="2397"/>
      <c r="C115" s="1643"/>
      <c r="D115" s="1645"/>
      <c r="E115" s="553" t="str">
        <f>FHD_NUM_P_64</f>
        <v/>
      </c>
      <c r="F115" s="1884" t="str">
        <f>FHD_P_64</f>
        <v/>
      </c>
      <c r="G115" s="1881" t="s">
        <v>594</v>
      </c>
      <c r="H115" s="1414"/>
      <c r="I115" s="758"/>
      <c r="J115" s="296" t="str">
        <f>FHD_NOTE_P_64</f>
        <v/>
      </c>
      <c r="K115" s="550"/>
      <c r="L115" s="1643"/>
      <c r="M115" s="1643"/>
      <c r="R115" s="1643"/>
      <c r="U115" s="551"/>
      <c r="AA115" s="1639"/>
      <c r="AB115" s="1639"/>
      <c r="AC115" s="1639"/>
      <c r="AD115" s="1639"/>
      <c r="AE115" s="1639"/>
      <c r="AF115" s="1167">
        <v>0</v>
      </c>
    </row>
    <row s="1373" customFormat="1" customHeight="1" ht="18.75" hidden="1">
      <c r="A116" s="2397"/>
      <c r="C116" s="1643"/>
      <c r="D116" s="1645"/>
      <c r="E116" s="553" t="str">
        <f>FHD_NUM_P_65</f>
        <v/>
      </c>
      <c r="F116" s="1884" t="str">
        <f>FHD_P_65</f>
        <v/>
      </c>
      <c r="G116" s="1881" t="s">
        <v>594</v>
      </c>
      <c r="H116" s="584"/>
      <c r="I116" s="584"/>
      <c r="J116" s="296" t="str">
        <f>FHD_NOTE_P_65</f>
        <v/>
      </c>
      <c r="K116" s="550"/>
      <c r="L116" s="1643"/>
      <c r="M116" s="1643"/>
      <c r="R116" s="1643"/>
      <c r="U116" s="551"/>
      <c r="AA116" s="1639"/>
      <c r="AB116" s="1639"/>
      <c r="AC116" s="1639"/>
      <c r="AD116" s="1639"/>
      <c r="AE116" s="1639"/>
      <c r="AF116" s="1167">
        <v>0</v>
      </c>
    </row>
    <row s="1373" customFormat="1" customHeight="1" ht="18.75" hidden="1">
      <c r="A117" s="2397"/>
      <c r="C117" s="1643"/>
      <c r="D117" s="1645"/>
      <c r="E117" s="553" t="str">
        <f>FHD_NUM_P_66</f>
        <v/>
      </c>
      <c r="F117" s="1531" t="str">
        <f>FHD_P_66</f>
        <v/>
      </c>
      <c r="G117" s="1881" t="s">
        <v>594</v>
      </c>
      <c r="H117" s="584"/>
      <c r="I117" s="584"/>
      <c r="J117" s="296" t="str">
        <f>FHD_NOTE_P_66</f>
        <v/>
      </c>
      <c r="K117" s="550"/>
      <c r="L117" s="1643"/>
      <c r="M117" s="1643"/>
      <c r="R117" s="1643"/>
      <c r="U117" s="551"/>
      <c r="AA117" s="1639"/>
      <c r="AB117" s="1639"/>
      <c r="AC117" s="1639"/>
      <c r="AD117" s="1639"/>
      <c r="AE117" s="1639"/>
      <c r="AF117" s="1167">
        <v>0</v>
      </c>
    </row>
    <row s="1373" customFormat="1" customHeight="1" ht="18.75" hidden="1">
      <c r="A118" s="2397"/>
      <c r="C118" s="1643"/>
      <c r="D118" s="1645"/>
      <c r="E118" s="553" t="str">
        <f>FHD_NUM_P_67</f>
        <v/>
      </c>
      <c r="F118" s="1657" t="str">
        <f>FHD_P_67</f>
        <v/>
      </c>
      <c r="G118" s="1881" t="s">
        <v>594</v>
      </c>
      <c r="H118" s="584"/>
      <c r="I118" s="584"/>
      <c r="J118" s="296" t="str">
        <f>FHD_NOTE_P_67</f>
        <v/>
      </c>
      <c r="K118" s="550"/>
      <c r="L118" s="1643"/>
      <c r="M118" s="1643"/>
      <c r="R118" s="1643"/>
      <c r="U118" s="551"/>
      <c r="AA118" s="1639"/>
      <c r="AB118" s="1639"/>
      <c r="AC118" s="1639"/>
      <c r="AD118" s="1639"/>
      <c r="AE118" s="1639"/>
      <c r="AF118" s="1167">
        <v>0</v>
      </c>
    </row>
    <row s="1373" customFormat="1" customHeight="1" ht="18.75" hidden="1">
      <c r="A119" s="2397"/>
      <c r="C119" s="1643"/>
      <c r="D119" s="1645"/>
      <c r="E119" s="553" t="str">
        <f>FHD_NUM_P_68</f>
        <v/>
      </c>
      <c r="F119" s="1531" t="str">
        <f>FHD_P_68</f>
        <v/>
      </c>
      <c r="G119" s="1881" t="s">
        <v>594</v>
      </c>
      <c r="H119" s="584"/>
      <c r="I119" s="584"/>
      <c r="J119" s="296" t="str">
        <f>FHD_NOTE_P_68</f>
        <v/>
      </c>
      <c r="K119" s="550"/>
      <c r="L119" s="1643"/>
      <c r="M119" s="1643"/>
      <c r="R119" s="1643"/>
      <c r="U119" s="551"/>
      <c r="AA119" s="1639"/>
      <c r="AB119" s="1639"/>
      <c r="AC119" s="1639"/>
      <c r="AD119" s="1639"/>
      <c r="AE119" s="1639"/>
      <c r="AF119" s="1167">
        <v>0</v>
      </c>
    </row>
    <row s="1373" customFormat="1" customHeight="1" ht="18.75" hidden="1">
      <c r="A120" s="2397"/>
      <c r="C120" s="1643"/>
      <c r="D120" s="1645"/>
      <c r="E120" s="553" t="str">
        <f>FHD_NUM_P_69</f>
        <v/>
      </c>
      <c r="F120" s="1531" t="str">
        <f>FHD_P_69</f>
        <v/>
      </c>
      <c r="G120" s="1881" t="s">
        <v>594</v>
      </c>
      <c r="H120" s="584"/>
      <c r="I120" s="584"/>
      <c r="J120" s="296" t="str">
        <f>FHD_NOTE_P_69</f>
        <v/>
      </c>
      <c r="K120" s="550"/>
      <c r="L120" s="1643"/>
      <c r="M120" s="1643"/>
      <c r="R120" s="1643"/>
      <c r="U120" s="551"/>
      <c r="AA120" s="1639"/>
      <c r="AB120" s="1639"/>
      <c r="AC120" s="1639"/>
      <c r="AD120" s="1639"/>
      <c r="AE120" s="1639"/>
      <c r="AF120" s="1167">
        <v>0</v>
      </c>
    </row>
    <row s="1373" customFormat="1" customHeight="1" ht="22.5" hidden="1">
      <c r="A121" s="2397"/>
      <c r="C121" s="1643"/>
      <c r="D121" s="1645"/>
      <c r="E121" s="553" t="str">
        <f>FHD_NUM_P_70</f>
        <v/>
      </c>
      <c r="F121" s="1884" t="str">
        <f>FHD_P_70</f>
        <v/>
      </c>
      <c r="G121" s="1881" t="s">
        <v>599</v>
      </c>
      <c r="H121" s="564"/>
      <c r="I121" s="564"/>
      <c r="J121" s="296" t="str">
        <f>FHD_NOTE_P_70</f>
        <v/>
      </c>
      <c r="K121" s="550"/>
      <c r="L121" s="1643"/>
      <c r="M121" s="1643"/>
      <c r="R121" s="1643"/>
      <c r="U121" s="551"/>
      <c r="AA121" s="1639"/>
      <c r="AB121" s="1639"/>
      <c r="AC121" s="1639"/>
      <c r="AD121" s="1639"/>
      <c r="AE121" s="1639"/>
      <c r="AF121" s="1167">
        <v>0</v>
      </c>
    </row>
    <row s="1373" customFormat="1" customHeight="1" ht="22.5" hidden="1">
      <c r="A122" s="2397"/>
      <c r="C122" s="1643"/>
      <c r="D122" s="1645"/>
      <c r="E122" s="553" t="str">
        <f>FHD_NUM_P_71</f>
        <v/>
      </c>
      <c r="F122" s="1884" t="str">
        <f>FHD_P_71</f>
        <v/>
      </c>
      <c r="G122" s="1881" t="s">
        <v>599</v>
      </c>
      <c r="H122" s="564"/>
      <c r="I122" s="564"/>
      <c r="J122" s="296" t="str">
        <f>FHD_NOTE_P_71</f>
        <v/>
      </c>
      <c r="K122" s="550"/>
      <c r="L122" s="1643"/>
      <c r="M122" s="1643"/>
      <c r="R122" s="1643"/>
      <c r="U122" s="551"/>
      <c r="AA122" s="1639"/>
      <c r="AB122" s="1639"/>
      <c r="AC122" s="1639"/>
      <c r="AD122" s="1639"/>
      <c r="AE122" s="1639"/>
      <c r="AF122" s="1167">
        <v>0</v>
      </c>
    </row>
    <row customHeight="1" ht="20.25">
      <c r="D123" s="1645"/>
      <c r="E123" s="553" t="str">
        <f>FHD_NUM_P_72</f>
        <v>10</v>
      </c>
      <c r="F123" s="1884" t="str">
        <f>FHD_P_72</f>
        <v>Среднесписочная численность основного производственного персонала</v>
      </c>
      <c r="G123" s="1880" t="s">
        <v>600</v>
      </c>
      <c r="H123" s="584"/>
      <c r="I123" s="584">
        <v>84</v>
      </c>
      <c r="J123" s="296" t="str">
        <f>FHD_NOTE_P_72</f>
        <v/>
      </c>
      <c r="K123" s="550"/>
      <c r="AF123" s="1638">
        <v>19</v>
      </c>
    </row>
    <row customHeight="1" ht="18.75" hidden="1">
      <c r="A124" s="996" t="s">
        <v>601</v>
      </c>
      <c r="D124" s="1645"/>
      <c r="E124" s="553" t="str">
        <f>FHD_NUM_P_73</f>
        <v/>
      </c>
      <c r="F124" s="1884" t="str">
        <f>FHD_P_73</f>
        <v/>
      </c>
      <c r="G124" s="977" t="s">
        <v>600</v>
      </c>
      <c r="H124" s="975"/>
      <c r="I124" s="975"/>
      <c r="J124" s="296" t="str">
        <f>FHD_NOTE_P_73</f>
        <v/>
      </c>
      <c r="K124" s="550"/>
      <c r="AF124" s="1638">
        <v>0</v>
      </c>
    </row>
    <row customHeight="1" ht="33.75" hidden="1">
      <c r="A125" s="996" t="s">
        <v>602</v>
      </c>
      <c r="D125" s="1645"/>
      <c r="E125" s="553" t="str">
        <f>FHD_NUM_P_74</f>
        <v/>
      </c>
      <c r="F125" s="1884" t="str">
        <f>FHD_P_74</f>
        <v/>
      </c>
      <c r="G125" s="1880" t="s">
        <v>603</v>
      </c>
      <c r="H125" s="584"/>
      <c r="I125" s="584"/>
      <c r="J125" s="296" t="str">
        <f>FHD_NOTE_P_74</f>
        <v/>
      </c>
      <c r="K125" s="550"/>
      <c r="AF125" s="1638">
        <v>0</v>
      </c>
    </row>
    <row s="1642" customFormat="1" customHeight="1" ht="18.75" hidden="1">
      <c r="A126" s="2399" t="s">
        <v>604</v>
      </c>
      <c r="B126" s="917"/>
      <c r="C126" s="742"/>
      <c r="D126" s="740"/>
      <c r="E126" s="553" t="str">
        <f>FHD_NUM_P_75</f>
        <v/>
      </c>
      <c r="F126" s="1884" t="str">
        <f>FHD_P_75</f>
        <v/>
      </c>
      <c r="G126" s="1880" t="s">
        <v>555</v>
      </c>
      <c r="H126" s="564"/>
      <c r="I126" s="564"/>
      <c r="J126" s="296" t="str">
        <f>FHD_NOTE_P_75</f>
        <v/>
      </c>
      <c r="K126" s="741"/>
      <c r="L126" s="742"/>
      <c r="M126" s="742"/>
      <c r="N126" s="917"/>
      <c r="O126" s="917"/>
      <c r="P126" s="917"/>
      <c r="Q126" s="917"/>
      <c r="R126" s="742"/>
      <c r="S126" s="917"/>
      <c r="T126" s="917"/>
      <c r="U126" s="743"/>
      <c r="V126" s="917"/>
      <c r="W126" s="917"/>
      <c r="X126" s="917"/>
      <c r="Y126" s="917"/>
      <c r="Z126" s="917"/>
      <c r="AA126" s="744"/>
      <c r="AB126" s="744"/>
      <c r="AC126" s="744"/>
      <c r="AD126" s="744"/>
      <c r="AE126" s="744"/>
      <c r="AF126" s="746">
        <v>0</v>
      </c>
    </row>
    <row s="1642" customFormat="1" customHeight="1" ht="18.75" hidden="1">
      <c r="A127" s="2399"/>
      <c r="B127" s="917"/>
      <c r="C127" s="742"/>
      <c r="D127" s="740"/>
      <c r="E127" s="553" t="str">
        <f>FHD_NUM_P_76</f>
        <v/>
      </c>
      <c r="F127" s="1884" t="str">
        <f>FHD_P_76</f>
        <v/>
      </c>
      <c r="G127" s="1880" t="s">
        <v>555</v>
      </c>
      <c r="H127" s="564"/>
      <c r="I127" s="564"/>
      <c r="J127" s="296" t="str">
        <f>FHD_NOTE_P_76</f>
        <v/>
      </c>
      <c r="K127" s="741"/>
      <c r="L127" s="742"/>
      <c r="M127" s="742"/>
      <c r="N127" s="917"/>
      <c r="O127" s="917"/>
      <c r="P127" s="917"/>
      <c r="Q127" s="917"/>
      <c r="R127" s="742"/>
      <c r="S127" s="917"/>
      <c r="T127" s="917"/>
      <c r="U127" s="743"/>
      <c r="V127" s="917"/>
      <c r="W127" s="917"/>
      <c r="X127" s="917"/>
      <c r="Y127" s="917"/>
      <c r="Z127" s="917"/>
      <c r="AA127" s="744"/>
      <c r="AB127" s="744"/>
      <c r="AC127" s="744"/>
      <c r="AD127" s="744"/>
      <c r="AE127" s="744"/>
      <c r="AF127" s="746">
        <v>0</v>
      </c>
    </row>
    <row s="1642" customFormat="1" customHeight="1" ht="18.75" hidden="1">
      <c r="A128" s="2399"/>
      <c r="B128" s="917"/>
      <c r="C128" s="742"/>
      <c r="D128" s="740"/>
      <c r="E128" s="553" t="str">
        <f>FHD_NUM_P_77</f>
        <v/>
      </c>
      <c r="F128" s="1884" t="str">
        <f>FHD_P_77</f>
        <v/>
      </c>
      <c r="G128" s="1880" t="s">
        <v>555</v>
      </c>
      <c r="H128" s="564"/>
      <c r="I128" s="564"/>
      <c r="J128" s="296" t="str">
        <f>FHD_NOTE_P_77</f>
        <v/>
      </c>
      <c r="K128" s="741"/>
      <c r="L128" s="742"/>
      <c r="M128" s="742"/>
      <c r="N128" s="917"/>
      <c r="O128" s="917"/>
      <c r="P128" s="917"/>
      <c r="Q128" s="917"/>
      <c r="R128" s="742"/>
      <c r="S128" s="917"/>
      <c r="T128" s="917"/>
      <c r="U128" s="743"/>
      <c r="V128" s="917"/>
      <c r="W128" s="917"/>
      <c r="X128" s="917"/>
      <c r="Y128" s="917"/>
      <c r="Z128" s="917"/>
      <c r="AA128" s="744"/>
      <c r="AB128" s="744"/>
      <c r="AC128" s="744"/>
      <c r="AD128" s="744"/>
      <c r="AE128" s="744"/>
      <c r="AF128" s="746">
        <v>0</v>
      </c>
    </row>
    <row s="1649" customFormat="1" customHeight="1" ht="0.75" hidden="1">
      <c r="A129" s="2399"/>
      <c r="D129" s="555"/>
      <c r="E129" s="1020" t="str">
        <f>E128&amp;".0"</f>
        <v>.0</v>
      </c>
      <c r="F129" s="1004"/>
      <c r="G129" s="1658"/>
      <c r="H129" s="999"/>
      <c r="I129" s="999"/>
      <c r="J129" s="1003"/>
      <c r="AF129" s="1643">
        <v>0</v>
      </c>
    </row>
    <row s="1642" customFormat="1" customHeight="1" ht="15" hidden="1">
      <c r="A130" s="2399"/>
      <c r="B130" s="917"/>
      <c r="C130" s="742"/>
      <c r="D130" s="753"/>
      <c r="E130" s="980"/>
      <c r="F130" s="981" t="s">
        <v>605</v>
      </c>
      <c r="G130" s="754"/>
      <c r="H130" s="755"/>
      <c r="I130" s="755"/>
      <c r="J130" s="1010" t="s">
        <v>606</v>
      </c>
      <c r="K130" s="741"/>
      <c r="L130" s="742"/>
      <c r="M130" s="742"/>
      <c r="N130" s="917"/>
      <c r="O130" s="917"/>
      <c r="P130" s="917"/>
      <c r="Q130" s="917"/>
      <c r="R130" s="742"/>
      <c r="S130" s="917"/>
      <c r="T130" s="917"/>
      <c r="U130" s="743"/>
      <c r="V130" s="917"/>
      <c r="W130" s="917"/>
      <c r="X130" s="917"/>
      <c r="Y130" s="917"/>
      <c r="Z130" s="917"/>
      <c r="AA130" s="744"/>
      <c r="AB130" s="744"/>
      <c r="AC130" s="744"/>
      <c r="AD130" s="744"/>
      <c r="AE130" s="744"/>
      <c r="AF130" s="746">
        <v>0</v>
      </c>
    </row>
    <row customHeight="1" ht="22.5" hidden="1">
      <c r="A131" s="2397" t="s">
        <v>607</v>
      </c>
      <c r="D131" s="1645"/>
      <c r="E131" s="553" t="str">
        <f>FHD_NUM_P_78</f>
        <v/>
      </c>
      <c r="F131" s="1884" t="str">
        <f>FHD_P_78</f>
        <v/>
      </c>
      <c r="G131" s="1881" t="s">
        <v>557</v>
      </c>
      <c r="H131" s="584"/>
      <c r="I131" s="584"/>
      <c r="J131" s="296" t="str">
        <f>FHD_NOTE_P_78</f>
        <v/>
      </c>
      <c r="K131" s="550"/>
      <c r="AF131" s="1638">
        <v>0</v>
      </c>
    </row>
    <row s="1649" customFormat="1" customHeight="1" ht="0.75" hidden="1">
      <c r="A132" s="2397"/>
      <c r="D132" s="555"/>
      <c r="E132" s="1020" t="str">
        <f>E131&amp;".0"</f>
        <v>.0</v>
      </c>
      <c r="F132" s="1004"/>
      <c r="G132" s="1658"/>
      <c r="H132" s="999"/>
      <c r="I132" s="999"/>
      <c r="J132" s="1003"/>
      <c r="AF132" s="1643">
        <v>0</v>
      </c>
    </row>
    <row customHeight="1" ht="15" hidden="1">
      <c r="A133" s="2397"/>
      <c r="D133" s="1640"/>
      <c r="E133" s="577"/>
      <c r="F133" s="1175" t="s">
        <v>597</v>
      </c>
      <c r="G133" s="579"/>
      <c r="H133" s="580"/>
      <c r="I133" s="580"/>
      <c r="J133" s="1011" t="s">
        <v>608</v>
      </c>
      <c r="K133" s="550"/>
      <c r="AF133" s="1638">
        <v>0</v>
      </c>
    </row>
    <row customHeight="1" ht="22.5" hidden="1">
      <c r="A134" s="2397"/>
      <c r="D134" s="1645"/>
      <c r="E134" s="553" t="str">
        <f>FHD_NUM_P_79</f>
        <v/>
      </c>
      <c r="F134" s="1884" t="str">
        <f>FHD_P_79</f>
        <v/>
      </c>
      <c r="G134" s="1882" t="s">
        <v>559</v>
      </c>
      <c r="H134" s="584"/>
      <c r="I134" s="584"/>
      <c r="J134" s="296" t="str">
        <f>FHD_NOTE_P_79</f>
        <v/>
      </c>
      <c r="K134" s="550"/>
      <c r="AF134" s="1638">
        <v>0</v>
      </c>
    </row>
    <row s="1649" customFormat="1" customHeight="1" ht="0.75" hidden="1">
      <c r="A135" s="2397"/>
      <c r="D135" s="555"/>
      <c r="E135" s="1020" t="str">
        <f>E134&amp;".0"</f>
        <v>.0</v>
      </c>
      <c r="F135" s="1005"/>
      <c r="G135" s="1658"/>
      <c r="H135" s="999"/>
      <c r="I135" s="999"/>
      <c r="J135" s="1003"/>
      <c r="AF135" s="1643">
        <v>0</v>
      </c>
    </row>
    <row customHeight="1" ht="15" hidden="1">
      <c r="A136" s="2397"/>
      <c r="D136" s="1640"/>
      <c r="E136" s="577"/>
      <c r="F136" s="1175" t="s">
        <v>597</v>
      </c>
      <c r="G136" s="579"/>
      <c r="H136" s="580"/>
      <c r="I136" s="580"/>
      <c r="J136" s="1011" t="s">
        <v>609</v>
      </c>
      <c r="K136" s="550"/>
      <c r="AF136" s="1638">
        <v>0</v>
      </c>
    </row>
    <row customHeight="1" ht="22.5" hidden="1">
      <c r="A137" s="2397"/>
      <c r="D137" s="1645"/>
      <c r="E137" s="553" t="str">
        <f>FHD_NUM_P_80</f>
        <v/>
      </c>
      <c r="F137" s="1884" t="str">
        <f>FHD_P_80</f>
        <v/>
      </c>
      <c r="G137" s="1882" t="s">
        <v>610</v>
      </c>
      <c r="H137" s="564"/>
      <c r="I137" s="564"/>
      <c r="J137" s="296" t="str">
        <f>FHD_NOTE_P_80</f>
        <v/>
      </c>
      <c r="K137" s="550"/>
      <c r="AF137" s="1638">
        <v>0</v>
      </c>
    </row>
    <row customHeight="1" ht="18.75" hidden="1">
      <c r="A138" s="2397"/>
      <c r="D138" s="1645"/>
      <c r="E138" s="553" t="str">
        <f>FHD_NUM_P_81</f>
        <v/>
      </c>
      <c r="F138" s="1884" t="str">
        <f>FHD_P_81</f>
        <v/>
      </c>
      <c r="G138" s="1882" t="s">
        <v>611</v>
      </c>
      <c r="H138" s="564"/>
      <c r="I138" s="564"/>
      <c r="J138" s="296" t="str">
        <f>FHD_NOTE_P_81</f>
        <v/>
      </c>
      <c r="K138" s="550"/>
      <c r="AF138" s="1638">
        <v>0</v>
      </c>
    </row>
    <row customHeight="1" ht="18.75" hidden="1">
      <c r="A139" s="2397"/>
      <c r="C139" s="1643" t="s">
        <v>589</v>
      </c>
      <c r="D139" s="1645"/>
      <c r="E139" s="553" t="str">
        <f>FHD_NUM_P_82</f>
        <v/>
      </c>
      <c r="F139" s="1884" t="str">
        <f>FHD_P_82</f>
        <v/>
      </c>
      <c r="G139" s="1882" t="s">
        <v>305</v>
      </c>
      <c r="H139" s="408"/>
      <c r="I139" s="408"/>
      <c r="J139" s="296" t="str">
        <f>FHD_NOTE_P_82</f>
        <v/>
      </c>
      <c r="K139" s="550"/>
      <c r="AF139" s="1638">
        <v>0</v>
      </c>
    </row>
    <row customHeight="1" ht="18.75" hidden="1">
      <c r="A140" s="2397"/>
      <c r="C140" s="1643" t="s">
        <v>589</v>
      </c>
      <c r="D140" s="1645"/>
      <c r="E140" s="553" t="str">
        <f>FHD_NUM_P_83</f>
        <v/>
      </c>
      <c r="F140" s="1531" t="str">
        <f>FHD_P_83</f>
        <v/>
      </c>
      <c r="G140" s="1882" t="s">
        <v>305</v>
      </c>
      <c r="H140" s="408"/>
      <c r="I140" s="408"/>
      <c r="J140" s="296" t="str">
        <f>FHD_NOTE_P_83</f>
        <v/>
      </c>
      <c r="K140" s="550"/>
      <c r="AF140" s="1638">
        <v>0</v>
      </c>
    </row>
    <row customHeight="1" ht="18.75" hidden="1">
      <c r="A141" s="2397"/>
      <c r="C141" s="1643" t="s">
        <v>589</v>
      </c>
      <c r="D141" s="1645"/>
      <c r="E141" s="553" t="str">
        <f>FHD_NUM_P_84</f>
        <v/>
      </c>
      <c r="F141" s="1531" t="str">
        <f>FHD_P_84</f>
        <v/>
      </c>
      <c r="G141" s="1882" t="s">
        <v>305</v>
      </c>
      <c r="H141" s="408"/>
      <c r="I141" s="408"/>
      <c r="J141" s="296" t="str">
        <f>FHD_NOTE_P_84</f>
        <v/>
      </c>
      <c r="K141" s="550"/>
      <c r="AF141" s="1638">
        <v>0</v>
      </c>
    </row>
    <row customHeight="1" ht="11.549999999999999">
      <c r="D142" s="1645"/>
      <c r="AF142" s="1638">
        <v>11</v>
      </c>
    </row>
    <row customHeight="1" ht="13.5">
      <c r="D143" s="1645"/>
      <c r="E143" s="343"/>
      <c r="F143" s="376"/>
      <c r="G143" s="376"/>
      <c r="H143" s="376"/>
      <c r="I143" s="1654"/>
      <c r="J143" s="588"/>
      <c r="AF143" s="1638">
        <v>13</v>
      </c>
    </row>
    <row s="1648" customFormat="1" customHeight="1" ht="11.549999999999999">
      <c r="A144" s="994"/>
      <c r="B144" s="1643"/>
      <c r="C144" s="1643"/>
      <c r="D144" s="358"/>
      <c r="F144" s="1647"/>
      <c r="G144" s="1638"/>
      <c r="H144" s="1638"/>
      <c r="I144" s="163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H147" s="573" t="str">
        <f>IF(H30-H31&lt;&gt;H83,"WARNING","")</f>
        <v/>
      </c>
      <c r="I147" s="573" t="str">
        <f>IF(I30-I31&lt;&gt;I83,"WARNING","")</f>
        <v>WARNING</v>
      </c>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s="1648" customFormat="1" customHeight="1" ht="11.549999999999999">
      <c r="A289" s="994"/>
      <c r="B289" s="1643"/>
      <c r="C289" s="1643"/>
      <c r="D289" s="358"/>
      <c r="K289" s="1167"/>
      <c r="L289" s="1643"/>
      <c r="M289" s="1643"/>
      <c r="N289" s="1167"/>
      <c r="O289" s="1167"/>
      <c r="P289" s="1167"/>
      <c r="Q289" s="1167"/>
      <c r="R289" s="1643"/>
      <c r="S289" s="1167"/>
      <c r="T289" s="1167"/>
      <c r="U289" s="551"/>
      <c r="V289" s="1167"/>
      <c r="W289" s="1167"/>
      <c r="X289" s="1167"/>
      <c r="Y289" s="1167"/>
      <c r="Z289" s="1167"/>
      <c r="AA289" s="1639"/>
      <c r="AB289" s="573"/>
      <c r="AC289" s="573"/>
      <c r="AD289" s="573"/>
      <c r="AE289" s="573"/>
      <c r="AF289" s="1648">
        <v>11</v>
      </c>
    </row>
    <row s="1648" customFormat="1" customHeight="1" ht="11.549999999999999">
      <c r="A290" s="994"/>
      <c r="B290" s="1643"/>
      <c r="C290" s="1643"/>
      <c r="D290" s="358"/>
      <c r="K290" s="1167"/>
      <c r="L290" s="1643"/>
      <c r="M290" s="1643"/>
      <c r="N290" s="1167"/>
      <c r="O290" s="1167"/>
      <c r="P290" s="1167"/>
      <c r="Q290" s="1167"/>
      <c r="R290" s="1643"/>
      <c r="S290" s="1167"/>
      <c r="T290" s="1167"/>
      <c r="U290" s="551"/>
      <c r="V290" s="1167"/>
      <c r="W290" s="1167"/>
      <c r="X290" s="1167"/>
      <c r="Y290" s="1167"/>
      <c r="Z290" s="1167"/>
      <c r="AA290" s="1639"/>
      <c r="AB290" s="573"/>
      <c r="AC290" s="573"/>
      <c r="AD290" s="573"/>
      <c r="AE290" s="573"/>
      <c r="AF290" s="1648">
        <v>11</v>
      </c>
    </row>
    <row s="1648" customFormat="1" customHeight="1" ht="11.549999999999999">
      <c r="A291" s="994"/>
      <c r="B291" s="1643"/>
      <c r="C291" s="1643"/>
      <c r="D291" s="358"/>
      <c r="K291" s="1167"/>
      <c r="L291" s="1643"/>
      <c r="M291" s="1643"/>
      <c r="N291" s="1167"/>
      <c r="O291" s="1167"/>
      <c r="P291" s="1167"/>
      <c r="Q291" s="1167"/>
      <c r="R291" s="1643"/>
      <c r="S291" s="1167"/>
      <c r="T291" s="1167"/>
      <c r="U291" s="551"/>
      <c r="V291" s="1167"/>
      <c r="W291" s="1167"/>
      <c r="X291" s="1167"/>
      <c r="Y291" s="1167"/>
      <c r="Z291" s="1167"/>
      <c r="AA291" s="1639"/>
      <c r="AB291" s="573"/>
      <c r="AC291" s="573"/>
      <c r="AD291" s="573"/>
      <c r="AE291" s="573"/>
      <c r="AF291" s="1648">
        <v>11</v>
      </c>
    </row>
    <row s="1648" customFormat="1" customHeight="1" ht="11.549999999999999">
      <c r="A292" s="994"/>
      <c r="B292" s="1643"/>
      <c r="C292" s="1643"/>
      <c r="D292" s="358"/>
      <c r="K292" s="1167"/>
      <c r="L292" s="1643"/>
      <c r="M292" s="1643"/>
      <c r="N292" s="1167"/>
      <c r="O292" s="1167"/>
      <c r="P292" s="1167"/>
      <c r="Q292" s="1167"/>
      <c r="R292" s="1643"/>
      <c r="S292" s="1167"/>
      <c r="T292" s="1167"/>
      <c r="U292" s="551"/>
      <c r="V292" s="1167"/>
      <c r="W292" s="1167"/>
      <c r="X292" s="1167"/>
      <c r="Y292" s="1167"/>
      <c r="Z292" s="1167"/>
      <c r="AA292" s="1639"/>
      <c r="AB292" s="573"/>
      <c r="AC292" s="573"/>
      <c r="AD292" s="573"/>
      <c r="AE292" s="573"/>
      <c r="AF292" s="1648">
        <v>11</v>
      </c>
    </row>
    <row s="1648" customFormat="1" customHeight="1" ht="11.549999999999999">
      <c r="A293" s="994"/>
      <c r="B293" s="1643"/>
      <c r="C293" s="1643"/>
      <c r="D293" s="358"/>
      <c r="K293" s="1167"/>
      <c r="L293" s="1643"/>
      <c r="M293" s="1643"/>
      <c r="N293" s="1167"/>
      <c r="O293" s="1167"/>
      <c r="P293" s="1167"/>
      <c r="Q293" s="1167"/>
      <c r="R293" s="1643"/>
      <c r="S293" s="1167"/>
      <c r="T293" s="1167"/>
      <c r="U293" s="551"/>
      <c r="V293" s="1167"/>
      <c r="W293" s="1167"/>
      <c r="X293" s="1167"/>
      <c r="Y293" s="1167"/>
      <c r="Z293" s="1167"/>
      <c r="AA293" s="1639"/>
      <c r="AB293" s="573"/>
      <c r="AC293" s="573"/>
      <c r="AD293" s="573"/>
      <c r="AE293" s="573"/>
      <c r="AF293" s="1648">
        <v>11</v>
      </c>
    </row>
    <row s="1648" customFormat="1" customHeight="1" ht="11.549999999999999">
      <c r="A294" s="994"/>
      <c r="B294" s="1643"/>
      <c r="C294" s="1643"/>
      <c r="D294" s="358"/>
      <c r="K294" s="1167"/>
      <c r="L294" s="1643"/>
      <c r="M294" s="1643"/>
      <c r="N294" s="1167"/>
      <c r="O294" s="1167"/>
      <c r="P294" s="1167"/>
      <c r="Q294" s="1167"/>
      <c r="R294" s="1643"/>
      <c r="S294" s="1167"/>
      <c r="T294" s="1167"/>
      <c r="U294" s="551"/>
      <c r="V294" s="1167"/>
      <c r="W294" s="1167"/>
      <c r="X294" s="1167"/>
      <c r="Y294" s="1167"/>
      <c r="Z294" s="1167"/>
      <c r="AA294" s="1639"/>
      <c r="AB294" s="573"/>
      <c r="AC294" s="573"/>
      <c r="AD294" s="573"/>
      <c r="AE294" s="573"/>
      <c r="AF294" s="1648">
        <v>11</v>
      </c>
    </row>
    <row s="1648" customFormat="1" customHeight="1" ht="11.549999999999999">
      <c r="A295" s="994"/>
      <c r="B295" s="1643"/>
      <c r="C295" s="1643"/>
      <c r="D295" s="358"/>
      <c r="K295" s="1167"/>
      <c r="L295" s="1643"/>
      <c r="M295" s="1643"/>
      <c r="N295" s="1167"/>
      <c r="O295" s="1167"/>
      <c r="P295" s="1167"/>
      <c r="Q295" s="1167"/>
      <c r="R295" s="1643"/>
      <c r="S295" s="1167"/>
      <c r="T295" s="1167"/>
      <c r="U295" s="551"/>
      <c r="V295" s="1167"/>
      <c r="W295" s="1167"/>
      <c r="X295" s="1167"/>
      <c r="Y295" s="1167"/>
      <c r="Z295" s="1167"/>
      <c r="AA295" s="1639"/>
      <c r="AB295" s="573"/>
      <c r="AC295" s="573"/>
      <c r="AD295" s="573"/>
      <c r="AE295" s="573"/>
      <c r="AF295" s="1648">
        <v>11</v>
      </c>
    </row>
    <row s="1648" customFormat="1" customHeight="1" ht="11.549999999999999">
      <c r="A296" s="994"/>
      <c r="B296" s="1643"/>
      <c r="C296" s="1643"/>
      <c r="D296" s="358"/>
      <c r="K296" s="1167"/>
      <c r="L296" s="1643"/>
      <c r="M296" s="1643"/>
      <c r="N296" s="1167"/>
      <c r="O296" s="1167"/>
      <c r="P296" s="1167"/>
      <c r="Q296" s="1167"/>
      <c r="R296" s="1643"/>
      <c r="S296" s="1167"/>
      <c r="T296" s="1167"/>
      <c r="U296" s="551"/>
      <c r="V296" s="1167"/>
      <c r="W296" s="1167"/>
      <c r="X296" s="1167"/>
      <c r="Y296" s="1167"/>
      <c r="Z296" s="1167"/>
      <c r="AA296" s="1639"/>
      <c r="AB296" s="573"/>
      <c r="AC296" s="573"/>
      <c r="AD296" s="573"/>
      <c r="AE296" s="573"/>
      <c r="AF296" s="1648">
        <v>11</v>
      </c>
    </row>
    <row s="1648" customFormat="1" customHeight="1" ht="11.549999999999999">
      <c r="A297" s="994"/>
      <c r="B297" s="1643"/>
      <c r="C297" s="1643"/>
      <c r="D297" s="358"/>
      <c r="K297" s="1167"/>
      <c r="L297" s="1643"/>
      <c r="M297" s="1643"/>
      <c r="N297" s="1167"/>
      <c r="O297" s="1167"/>
      <c r="P297" s="1167"/>
      <c r="Q297" s="1167"/>
      <c r="R297" s="1643"/>
      <c r="S297" s="1167"/>
      <c r="T297" s="1167"/>
      <c r="U297" s="551"/>
      <c r="V297" s="1167"/>
      <c r="W297" s="1167"/>
      <c r="X297" s="1167"/>
      <c r="Y297" s="1167"/>
      <c r="Z297" s="1167"/>
      <c r="AA297" s="1639"/>
      <c r="AB297" s="573"/>
      <c r="AC297" s="573"/>
      <c r="AD297" s="573"/>
      <c r="AE297" s="573"/>
      <c r="AF297" s="1648">
        <v>11</v>
      </c>
    </row>
    <row s="1648" customFormat="1" customHeight="1" ht="11.549999999999999">
      <c r="A298" s="994"/>
      <c r="B298" s="1643"/>
      <c r="C298" s="1643"/>
      <c r="D298" s="358"/>
      <c r="K298" s="1167"/>
      <c r="L298" s="1643"/>
      <c r="M298" s="1643"/>
      <c r="N298" s="1167"/>
      <c r="O298" s="1167"/>
      <c r="P298" s="1167"/>
      <c r="Q298" s="1167"/>
      <c r="R298" s="1643"/>
      <c r="S298" s="1167"/>
      <c r="T298" s="1167"/>
      <c r="U298" s="551"/>
      <c r="V298" s="1167"/>
      <c r="W298" s="1167"/>
      <c r="X298" s="1167"/>
      <c r="Y298" s="1167"/>
      <c r="Z298" s="1167"/>
      <c r="AA298" s="1639"/>
      <c r="AB298" s="573"/>
      <c r="AC298" s="573"/>
      <c r="AD298" s="573"/>
      <c r="AE298" s="573"/>
      <c r="AF298" s="1648">
        <v>11</v>
      </c>
    </row>
    <row s="1648" customFormat="1" customHeight="1" ht="11.549999999999999">
      <c r="A299" s="994"/>
      <c r="B299" s="1643"/>
      <c r="C299" s="1643"/>
      <c r="D299" s="358"/>
      <c r="K299" s="1167"/>
      <c r="L299" s="1643"/>
      <c r="M299" s="1643"/>
      <c r="N299" s="1167"/>
      <c r="O299" s="1167"/>
      <c r="P299" s="1167"/>
      <c r="Q299" s="1167"/>
      <c r="R299" s="1643"/>
      <c r="S299" s="1167"/>
      <c r="T299" s="1167"/>
      <c r="U299" s="551"/>
      <c r="V299" s="1167"/>
      <c r="W299" s="1167"/>
      <c r="X299" s="1167"/>
      <c r="Y299" s="1167"/>
      <c r="Z299" s="1167"/>
      <c r="AA299" s="1639"/>
      <c r="AB299" s="573"/>
      <c r="AC299" s="573"/>
      <c r="AD299" s="573"/>
      <c r="AE299" s="573"/>
      <c r="AF299" s="1648">
        <v>11</v>
      </c>
    </row>
    <row customHeight="1" ht="11.549999999999999">
      <c r="AF300" s="1638">
        <v>11</v>
      </c>
    </row>
    <row customHeight="1" ht="11.549999999999999">
      <c r="AF301" s="1638">
        <v>11</v>
      </c>
    </row>
    <row customHeight="1" ht="11.549999999999999">
      <c r="AF302" s="1638">
        <v>11</v>
      </c>
    </row>
    <row customHeight="1" ht="11.549999999999999">
      <c r="A303" s="997"/>
      <c r="B303" s="1638"/>
      <c r="D303" s="1638"/>
      <c r="K303" s="1638"/>
      <c r="N303" s="1638"/>
      <c r="O303" s="1638"/>
      <c r="P303" s="1638"/>
      <c r="Q303" s="1638"/>
      <c r="S303" s="1638"/>
      <c r="T303" s="1638"/>
      <c r="U303" s="1638"/>
      <c r="V303" s="1638"/>
      <c r="W303" s="1638"/>
      <c r="X303" s="1638"/>
      <c r="Y303" s="1638"/>
      <c r="Z303" s="1638"/>
      <c r="AA303" s="1638"/>
      <c r="AB303" s="1638"/>
      <c r="AC303" s="1638"/>
      <c r="AD303" s="1638"/>
      <c r="AE303" s="1638"/>
      <c r="AF303" s="1638">
        <v>11</v>
      </c>
    </row>
    <row customHeight="1" ht="11.549999999999999">
      <c r="A304" s="997"/>
      <c r="B304" s="1638"/>
      <c r="D304" s="1638"/>
      <c r="K304" s="1638"/>
      <c r="N304" s="1638"/>
      <c r="O304" s="1638"/>
      <c r="P304" s="1638"/>
      <c r="Q304" s="1638"/>
      <c r="S304" s="1638"/>
      <c r="T304" s="1638"/>
      <c r="U304" s="1638"/>
      <c r="V304" s="1638"/>
      <c r="W304" s="1638"/>
      <c r="X304" s="1638"/>
      <c r="Y304" s="1638"/>
      <c r="Z304" s="1638"/>
      <c r="AA304" s="1638"/>
      <c r="AB304" s="1638"/>
      <c r="AC304" s="1638"/>
      <c r="AD304" s="1638"/>
      <c r="AE304" s="1638"/>
      <c r="AF304" s="1638">
        <v>11</v>
      </c>
    </row>
    <row customHeight="1" ht="11.549999999999999">
      <c r="A305" s="997"/>
      <c r="B305" s="1638"/>
      <c r="D305" s="1638"/>
      <c r="K305" s="1638"/>
      <c r="N305" s="1638"/>
      <c r="O305" s="1638"/>
      <c r="P305" s="1638"/>
      <c r="Q305" s="1638"/>
      <c r="S305" s="1638"/>
      <c r="T305" s="1638"/>
      <c r="U305" s="1638"/>
      <c r="V305" s="1638"/>
      <c r="W305" s="1638"/>
      <c r="X305" s="1638"/>
      <c r="Y305" s="1638"/>
      <c r="Z305" s="1638"/>
      <c r="AA305" s="1638"/>
      <c r="AB305" s="1638"/>
      <c r="AC305" s="1638"/>
      <c r="AD305" s="1638"/>
      <c r="AE305" s="1638"/>
      <c r="AF305" s="1638">
        <v>11</v>
      </c>
    </row>
    <row customHeight="1" ht="11.549999999999999">
      <c r="A306" s="997"/>
      <c r="B306" s="1638"/>
      <c r="D306" s="1638"/>
      <c r="K306" s="1638"/>
      <c r="N306" s="1638"/>
      <c r="O306" s="1638"/>
      <c r="P306" s="1638"/>
      <c r="Q306" s="1638"/>
      <c r="S306" s="1638"/>
      <c r="T306" s="1638"/>
      <c r="U306" s="1638"/>
      <c r="V306" s="1638"/>
      <c r="W306" s="1638"/>
      <c r="X306" s="1638"/>
      <c r="Y306" s="1638"/>
      <c r="Z306" s="1638"/>
      <c r="AA306" s="1638"/>
      <c r="AB306" s="1638"/>
      <c r="AC306" s="1638"/>
      <c r="AD306" s="1638"/>
      <c r="AE306" s="1638"/>
      <c r="AF306" s="1638">
        <v>11</v>
      </c>
    </row>
    <row customHeight="1" ht="11.549999999999999">
      <c r="A307" s="997"/>
      <c r="B307" s="1638"/>
      <c r="D307" s="1638"/>
      <c r="K307" s="1638"/>
      <c r="N307" s="1638"/>
      <c r="O307" s="1638"/>
      <c r="P307" s="1638"/>
      <c r="Q307" s="1638"/>
      <c r="S307" s="1638"/>
      <c r="T307" s="1638"/>
      <c r="U307" s="1638"/>
      <c r="V307" s="1638"/>
      <c r="W307" s="1638"/>
      <c r="X307" s="1638"/>
      <c r="Y307" s="1638"/>
      <c r="Z307" s="1638"/>
      <c r="AA307" s="1638"/>
      <c r="AB307" s="1638"/>
      <c r="AC307" s="1638"/>
      <c r="AD307" s="1638"/>
      <c r="AE307" s="1638"/>
      <c r="AF307" s="1638">
        <v>11</v>
      </c>
    </row>
    <row customHeight="1" ht="11.549999999999999">
      <c r="A308" s="997"/>
      <c r="B308" s="1638"/>
      <c r="D308" s="1638"/>
      <c r="K308" s="1638"/>
      <c r="N308" s="1638"/>
      <c r="O308" s="1638"/>
      <c r="P308" s="1638"/>
      <c r="Q308" s="1638"/>
      <c r="S308" s="1638"/>
      <c r="T308" s="1638"/>
      <c r="U308" s="1638"/>
      <c r="V308" s="1638"/>
      <c r="W308" s="1638"/>
      <c r="X308" s="1638"/>
      <c r="Y308" s="1638"/>
      <c r="Z308" s="1638"/>
      <c r="AA308" s="1638"/>
      <c r="AB308" s="1638"/>
      <c r="AC308" s="1638"/>
      <c r="AD308" s="1638"/>
      <c r="AE308" s="1638"/>
      <c r="AF308" s="1638">
        <v>11</v>
      </c>
    </row>
    <row customHeight="1" ht="11.549999999999999">
      <c r="A309" s="997"/>
      <c r="B309" s="1638"/>
      <c r="D309" s="1638"/>
      <c r="K309" s="1638"/>
      <c r="N309" s="1638"/>
      <c r="O309" s="1638"/>
      <c r="P309" s="1638"/>
      <c r="Q309" s="1638"/>
      <c r="S309" s="1638"/>
      <c r="T309" s="1638"/>
      <c r="U309" s="1638"/>
      <c r="V309" s="1638"/>
      <c r="W309" s="1638"/>
      <c r="X309" s="1638"/>
      <c r="Y309" s="1638"/>
      <c r="Z309" s="1638"/>
      <c r="AA309" s="1638"/>
      <c r="AB309" s="1638"/>
      <c r="AC309" s="1638"/>
      <c r="AD309" s="1638"/>
      <c r="AE309" s="1638"/>
      <c r="AF309" s="1638">
        <v>11</v>
      </c>
    </row>
    <row customHeight="1" ht="11.549999999999999">
      <c r="A310" s="997"/>
      <c r="B310" s="1638"/>
      <c r="D310" s="1638"/>
      <c r="K310" s="1638"/>
      <c r="N310" s="1638"/>
      <c r="O310" s="1638"/>
      <c r="P310" s="1638"/>
      <c r="Q310" s="1638"/>
      <c r="S310" s="1638"/>
      <c r="T310" s="1638"/>
      <c r="U310" s="1638"/>
      <c r="V310" s="1638"/>
      <c r="W310" s="1638"/>
      <c r="X310" s="1638"/>
      <c r="Y310" s="1638"/>
      <c r="Z310" s="1638"/>
      <c r="AA310" s="1638"/>
      <c r="AB310" s="1638"/>
      <c r="AC310" s="1638"/>
      <c r="AD310" s="1638"/>
      <c r="AE310" s="1638"/>
      <c r="AF310" s="1638">
        <v>11</v>
      </c>
    </row>
    <row customHeight="1" ht="11.549999999999999">
      <c r="A311" s="997"/>
      <c r="B311" s="1638"/>
      <c r="D311" s="1638"/>
      <c r="K311" s="1638"/>
      <c r="N311" s="1638"/>
      <c r="O311" s="1638"/>
      <c r="P311" s="1638"/>
      <c r="Q311" s="1638"/>
      <c r="S311" s="1638"/>
      <c r="T311" s="1638"/>
      <c r="U311" s="1638"/>
      <c r="V311" s="1638"/>
      <c r="W311" s="1638"/>
      <c r="X311" s="1638"/>
      <c r="Y311" s="1638"/>
      <c r="Z311" s="1638"/>
      <c r="AA311" s="1638"/>
      <c r="AB311" s="1638"/>
      <c r="AC311" s="1638"/>
      <c r="AD311" s="1638"/>
      <c r="AE311" s="1638"/>
      <c r="AF311" s="1638">
        <v>11</v>
      </c>
    </row>
    <row customHeight="1" ht="11.549999999999999">
      <c r="A312" s="997"/>
      <c r="B312" s="1638"/>
      <c r="D312" s="1638"/>
      <c r="K312" s="1638"/>
      <c r="N312" s="1638"/>
      <c r="O312" s="1638"/>
      <c r="P312" s="1638"/>
      <c r="Q312" s="1638"/>
      <c r="S312" s="1638"/>
      <c r="T312" s="1638"/>
      <c r="U312" s="1638"/>
      <c r="V312" s="1638"/>
      <c r="W312" s="1638"/>
      <c r="X312" s="1638"/>
      <c r="Y312" s="1638"/>
      <c r="Z312" s="1638"/>
      <c r="AA312" s="1638"/>
      <c r="AB312" s="1638"/>
      <c r="AC312" s="1638"/>
      <c r="AD312" s="1638"/>
      <c r="AE312" s="1638"/>
      <c r="AF312" s="1638">
        <v>11</v>
      </c>
    </row>
    <row customHeight="1" ht="11.549999999999999">
      <c r="A313" s="997"/>
      <c r="B313" s="1638"/>
      <c r="D313" s="1638"/>
      <c r="K313" s="1638"/>
      <c r="N313" s="1638"/>
      <c r="O313" s="1638"/>
      <c r="P313" s="1638"/>
      <c r="Q313" s="1638"/>
      <c r="S313" s="1638"/>
      <c r="T313" s="1638"/>
      <c r="U313" s="1638"/>
      <c r="V313" s="1638"/>
      <c r="W313" s="1638"/>
      <c r="X313" s="1638"/>
      <c r="Y313" s="1638"/>
      <c r="Z313" s="1638"/>
      <c r="AA313" s="1638"/>
      <c r="AB313" s="1638"/>
      <c r="AC313" s="1638"/>
      <c r="AD313" s="1638"/>
      <c r="AE313" s="1638"/>
      <c r="AF313" s="1638">
        <v>11</v>
      </c>
    </row>
    <row customHeight="1" ht="11.25" hidden="1">
      <c r="A314" s="994" t="s">
        <v>82</v>
      </c>
      <c r="B314" s="1167">
        <v>0</v>
      </c>
      <c r="C314" s="1643">
        <v>0</v>
      </c>
      <c r="D314" s="1642">
        <v>3</v>
      </c>
      <c r="E314" s="1638">
        <v>7</v>
      </c>
      <c r="F314" s="1638">
        <v>54</v>
      </c>
      <c r="G314" s="1638">
        <v>10</v>
      </c>
      <c r="H314" s="1638">
        <v>0</v>
      </c>
      <c r="I314" s="1638">
        <v>40</v>
      </c>
      <c r="J314" s="1638">
        <v>102</v>
      </c>
      <c r="K314" s="1167">
        <v>9</v>
      </c>
      <c r="L314" s="1643">
        <v>5</v>
      </c>
      <c r="M314" s="1643">
        <v>3</v>
      </c>
      <c r="N314" s="1167">
        <v>3</v>
      </c>
      <c r="O314" s="1167">
        <v>3</v>
      </c>
      <c r="P314" s="1167">
        <v>3</v>
      </c>
      <c r="Q314" s="1167">
        <v>3</v>
      </c>
      <c r="R314" s="1643">
        <v>10</v>
      </c>
      <c r="S314" s="1167">
        <v>34</v>
      </c>
      <c r="T314" s="1167">
        <v>9</v>
      </c>
      <c r="U314" s="551">
        <v>8</v>
      </c>
      <c r="V314" s="1167">
        <v>8</v>
      </c>
      <c r="W314" s="1167">
        <v>8</v>
      </c>
      <c r="X314" s="1167">
        <v>8</v>
      </c>
      <c r="Y314" s="1167">
        <v>8</v>
      </c>
      <c r="Z314" s="1167">
        <v>8</v>
      </c>
      <c r="AA314" s="1639">
        <v>8</v>
      </c>
      <c r="AB314" s="1639">
        <v>8</v>
      </c>
      <c r="AC314" s="1639">
        <v>8</v>
      </c>
      <c r="AD314" s="1639">
        <v>8</v>
      </c>
      <c r="AE314" s="1639">
        <v>8</v>
      </c>
      <c r="AF314" s="1638">
        <v>11</v>
      </c>
    </row>
  </sheetData>
  <sheetProtection formatColumns="0" formatRows="0" autoFilter="0" sort="0" insertRows="0" insertColumns="1" deleteRows="0" deleteColumns="0"/>
  <mergeCells count="18">
    <mergeCell ref="A131:A141"/>
    <mergeCell ref="E21:I21"/>
    <mergeCell ref="E22:I22"/>
    <mergeCell ref="A33:A40"/>
    <mergeCell ref="B34:B39"/>
    <mergeCell ref="A41:A43"/>
    <mergeCell ref="A67:A68"/>
    <mergeCell ref="A93:A101"/>
    <mergeCell ref="A102:A106"/>
    <mergeCell ref="A107:A109"/>
    <mergeCell ref="A110:A122"/>
    <mergeCell ref="A126:A130"/>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101:I101 H106:I106">
      <formula1>0</formula1>
      <formula2>100</formula2>
    </dataValidation>
    <dataValidation type="decimal" allowBlank="1" showErrorMessage="1" errorTitle="Ошибка" error="Допускается ввод только действительных чисел!" sqref="H134:I134 H131:I131 H137:I137 H86:I91 H115:I115">
      <formula1>-9.99999999999999E+37</formula1>
      <formula2>9.99999999999999E+37</formula2>
    </dataValidation>
    <dataValidation type="decimal" allowBlank="1" showErrorMessage="1" errorTitle="Ошибка" error="Допускается ввод только действительных чисел!" sqref="H83:I8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9:I141 H92:I92">
      <formula1>900</formula1>
    </dataValidation>
    <dataValidation type="list" allowBlank="1" showInputMessage="1" showErrorMessage="1" errorTitle="Ошибка" error="Выберите значение из списка" prompt="Выберите значение из списка" sqref="G104">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102:I105 H138:I138 H30:I30 H32:I33 H35:I38 H40:I65 H93:I97 H17:I17 H9:I13 H15:I15 H4:I6 H85:I85 H99:I100 H107:I114 H116:I130 H71:H81 I71:I8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92" r:id="rId1" xr:uid="{F5949BB1-7B61-92E3-DEB2-0FE5B461F09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C5C61-44D1-3637-FFDA-A89F11BA4B0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620"/>
      <c r="M5" s="620"/>
      <c r="CF5" s="512">
        <v>28</v>
      </c>
    </row>
    <row s="1642" customFormat="1" customHeight="1" ht="16.8">
      <c r="A6" s="617"/>
      <c r="B6" s="766"/>
      <c r="C6" s="516"/>
      <c r="D6" s="1065"/>
      <c r="E6" s="2202" t="str">
        <f>IF(org=0,"Не определено",org)</f>
        <v>Общество с ограниченной ответственностью "Сигнал", г. Серов</v>
      </c>
      <c r="F6" s="2202"/>
      <c r="G6" s="2202"/>
      <c r="H6" s="2202"/>
      <c r="I6" s="2202"/>
      <c r="J6" s="2202"/>
      <c r="K6" s="2202"/>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7" t="s">
        <v>299</v>
      </c>
      <c r="F9" s="2128"/>
      <c r="G9" s="2128"/>
      <c r="H9" s="2128"/>
      <c r="I9" s="2128"/>
      <c r="J9" s="2128"/>
      <c r="K9" s="2128"/>
      <c r="L9" s="2128"/>
      <c r="M9" s="2128"/>
      <c r="N9" s="2128"/>
      <c r="O9" s="2128"/>
      <c r="P9" s="2128"/>
      <c r="Q9" s="2128"/>
      <c r="R9" s="2129"/>
      <c r="S9" s="2153" t="s">
        <v>300</v>
      </c>
      <c r="T9" s="341"/>
      <c r="CF9" s="512">
        <v>19</v>
      </c>
    </row>
    <row customHeight="1" ht="48.29999999999999">
      <c r="D10" s="558" t="s">
        <v>88</v>
      </c>
      <c r="E10" s="2153" t="s">
        <v>88</v>
      </c>
      <c r="F10" s="2153"/>
      <c r="G10" s="528" t="s">
        <v>301</v>
      </c>
      <c r="H10" s="2153" t="s">
        <v>88</v>
      </c>
      <c r="I10" s="2153"/>
      <c r="J10" s="528" t="s">
        <v>612</v>
      </c>
      <c r="K10" s="528" t="s">
        <v>613</v>
      </c>
      <c r="L10" s="2153" t="s">
        <v>88</v>
      </c>
      <c r="M10" s="2153"/>
      <c r="N10" s="528" t="s">
        <v>614</v>
      </c>
      <c r="O10" s="528" t="s">
        <v>615</v>
      </c>
      <c r="P10" s="528" t="s">
        <v>616</v>
      </c>
      <c r="Q10" s="528" t="s">
        <v>617</v>
      </c>
      <c r="R10" s="528" t="s">
        <v>618</v>
      </c>
      <c r="S10" s="2153"/>
      <c r="T10" s="341"/>
      <c r="CF10" s="512">
        <v>46</v>
      </c>
    </row>
    <row s="1649" customFormat="1" customHeight="1" ht="15">
      <c r="A11" s="1059"/>
      <c r="D11" s="1032" t="s">
        <v>109</v>
      </c>
      <c r="E11" s="1032"/>
      <c r="F11" s="1032" t="s">
        <v>110</v>
      </c>
      <c r="G11" s="1032" t="s">
        <v>90</v>
      </c>
      <c r="H11" s="1032"/>
      <c r="I11" s="1032" t="s">
        <v>91</v>
      </c>
      <c r="J11" s="1032" t="s">
        <v>111</v>
      </c>
      <c r="K11" s="1032" t="s">
        <v>92</v>
      </c>
      <c r="L11" s="1032"/>
      <c r="M11" s="1032" t="s">
        <v>93</v>
      </c>
      <c r="N11" s="1032" t="s">
        <v>112</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375</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117</v>
      </c>
      <c r="B14" s="631"/>
      <c r="C14" s="631"/>
      <c r="D14" s="2406" t="s">
        <v>109</v>
      </c>
      <c r="E14" s="2403" t="s">
        <v>105</v>
      </c>
      <c r="F14" s="2404"/>
      <c r="G14" s="2405"/>
      <c r="H14" s="2409" t="str">
        <f>IF(A14="","",INDEX(DIFFERENTIATION_UNMERGE_VD,MATCH(A14,DIFFERENTIATION_ID_DIFF,0)))</f>
        <v>Водоотведение</v>
      </c>
      <c r="I14" s="2409"/>
      <c r="J14" s="2409"/>
      <c r="K14" s="2409"/>
      <c r="L14" s="2409"/>
      <c r="M14" s="2409"/>
      <c r="N14" s="2409"/>
      <c r="O14" s="2409"/>
      <c r="P14" s="2409"/>
      <c r="Q14" s="2409"/>
      <c r="R14" s="2409"/>
      <c r="S14" s="726"/>
      <c r="T14" s="723"/>
      <c r="U14" s="632"/>
      <c r="V14" s="632"/>
      <c r="W14" s="633"/>
      <c r="X14" s="633"/>
      <c r="Y14" s="633"/>
      <c r="Z14" s="633"/>
      <c r="AA14" s="634"/>
      <c r="AB14" s="635"/>
      <c r="AC14" s="2401"/>
      <c r="AD14" s="636"/>
      <c r="AE14" s="637" t="s">
        <v>22</v>
      </c>
      <c r="AF14" s="637"/>
      <c r="AG14" s="638" t="s">
        <v>619</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7"/>
      <c r="E15" s="2403" t="s">
        <v>561</v>
      </c>
      <c r="F15" s="2404"/>
      <c r="G15" s="2405"/>
      <c r="H15" s="2409" t="str">
        <f>IF(A14="","",INDEX(DIFFERENTIATION_UNMERGE_AREA,MATCH(A14,DIFFERENTIATION_ID_DIFF,0)))</f>
        <v>Территория 1</v>
      </c>
      <c r="I15" s="2409"/>
      <c r="J15" s="2409"/>
      <c r="K15" s="2409"/>
      <c r="L15" s="2409"/>
      <c r="M15" s="2409"/>
      <c r="N15" s="2409"/>
      <c r="O15" s="2409"/>
      <c r="P15" s="2409"/>
      <c r="Q15" s="2409"/>
      <c r="R15" s="2409"/>
      <c r="S15" s="726"/>
      <c r="T15" s="723"/>
      <c r="U15" s="632"/>
      <c r="V15" s="632"/>
      <c r="W15" s="633"/>
      <c r="X15" s="633"/>
      <c r="Y15" s="633"/>
      <c r="Z15" s="633"/>
      <c r="AA15" s="634"/>
      <c r="AB15" s="635"/>
      <c r="AC15" s="2401"/>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7"/>
      <c r="E16" s="2403" t="s">
        <v>562</v>
      </c>
      <c r="F16" s="2404"/>
      <c r="G16" s="2405"/>
      <c r="H16" s="2409" t="str">
        <f>IF(A14="","",INDEX(DIFFERENTIATION_UNMERGE_SYSTEM,MATCH(A14,DIFFERENTIATION_ID_DIFF,0)))</f>
        <v>без дифференциации</v>
      </c>
      <c r="I16" s="2409"/>
      <c r="J16" s="2409"/>
      <c r="K16" s="2409"/>
      <c r="L16" s="2409"/>
      <c r="M16" s="2409"/>
      <c r="N16" s="2409"/>
      <c r="O16" s="2409"/>
      <c r="P16" s="2409"/>
      <c r="Q16" s="2409"/>
      <c r="R16" s="2409"/>
      <c r="S16" s="726"/>
      <c r="T16" s="723"/>
      <c r="U16" s="632"/>
      <c r="V16" s="632"/>
      <c r="W16" s="633"/>
      <c r="X16" s="633"/>
      <c r="Y16" s="633"/>
      <c r="Z16" s="633"/>
      <c r="AA16" s="634"/>
      <c r="AB16" s="635"/>
      <c r="AC16" s="2401"/>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7"/>
      <c r="E17" s="2402" t="s">
        <v>620</v>
      </c>
      <c r="F17" s="2402"/>
      <c r="G17" s="2402"/>
      <c r="H17" s="2402"/>
      <c r="I17" s="2402"/>
      <c r="J17" s="2402"/>
      <c r="K17" s="2402"/>
      <c r="L17" s="2402"/>
      <c r="M17" s="2402"/>
      <c r="N17" s="2402"/>
      <c r="O17" s="2402"/>
      <c r="P17" s="2402"/>
      <c r="Q17" s="565">
        <f>SUMIF(T18:T19,"i",Q18:Q19)</f>
        <v>0</v>
      </c>
      <c r="R17" s="1024"/>
      <c r="S17" s="904" t="s">
        <v>621</v>
      </c>
      <c r="T17" s="724" t="s">
        <v>622</v>
      </c>
      <c r="U17" s="2400">
        <v>1</v>
      </c>
      <c r="V17" s="2400" t="str">
        <f>INDEX(B_FHD_FLAG_INDEX_1,1,MATCH(A14,B_FHD_FLAG_DIFFERENTIATION,0))</f>
        <v>отсутствует</v>
      </c>
      <c r="W17" s="424"/>
      <c r="X17" s="424"/>
      <c r="Y17" s="424"/>
      <c r="Z17" s="424"/>
      <c r="AA17" s="518"/>
      <c r="AB17" s="424"/>
      <c r="AC17" s="2401"/>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7"/>
      <c r="E18" s="642"/>
      <c r="F18" s="642">
        <v>0</v>
      </c>
      <c r="G18" s="642"/>
      <c r="H18" s="642"/>
      <c r="I18" s="642"/>
      <c r="J18" s="642"/>
      <c r="K18" s="642"/>
      <c r="L18" s="642"/>
      <c r="M18" s="642"/>
      <c r="N18" s="642"/>
      <c r="O18" s="642"/>
      <c r="P18" s="642"/>
      <c r="Q18" s="642"/>
      <c r="R18" s="642"/>
      <c r="S18" s="643"/>
      <c r="T18" s="725"/>
      <c r="U18" s="2400"/>
      <c r="V18" s="2400"/>
      <c r="W18" s="518"/>
      <c r="X18" s="518"/>
      <c r="Y18" s="518"/>
      <c r="Z18" s="518"/>
      <c r="AA18" s="518"/>
      <c r="AB18" s="424"/>
      <c r="AC18" s="2401"/>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7"/>
      <c r="E19" s="656" t="s">
        <v>22</v>
      </c>
      <c r="F19" s="657" t="s">
        <v>22</v>
      </c>
      <c r="G19" s="657" t="s">
        <v>22</v>
      </c>
      <c r="H19" s="658" t="s">
        <v>22</v>
      </c>
      <c r="I19" s="658"/>
      <c r="J19" s="658"/>
      <c r="K19" s="658"/>
      <c r="L19" s="658"/>
      <c r="M19" s="658"/>
      <c r="N19" s="658"/>
      <c r="O19" s="658"/>
      <c r="P19" s="658"/>
      <c r="Q19" s="658"/>
      <c r="R19" s="659"/>
      <c r="S19" s="1027"/>
      <c r="T19" s="725"/>
      <c r="U19" s="2400"/>
      <c r="V19" s="2400"/>
      <c r="W19" s="424"/>
      <c r="X19" s="424"/>
      <c r="Y19" s="424"/>
      <c r="Z19" s="424"/>
      <c r="AA19" s="518"/>
      <c r="AB19" s="424"/>
      <c r="AC19" s="2401"/>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7"/>
      <c r="E20" s="2402" t="s">
        <v>623</v>
      </c>
      <c r="F20" s="2402"/>
      <c r="G20" s="2402"/>
      <c r="H20" s="2402"/>
      <c r="I20" s="2402"/>
      <c r="J20" s="2402"/>
      <c r="K20" s="2402"/>
      <c r="L20" s="2402"/>
      <c r="M20" s="2402"/>
      <c r="N20" s="2402"/>
      <c r="O20" s="2402"/>
      <c r="P20" s="2402"/>
      <c r="Q20" s="565">
        <f>SUMIF(T21:T22,"i",Q21:Q22)</f>
        <v>0</v>
      </c>
      <c r="R20" s="1024"/>
      <c r="S20" s="716" t="s">
        <v>624</v>
      </c>
      <c r="T20" s="724" t="s">
        <v>622</v>
      </c>
      <c r="U20" s="2400">
        <v>2</v>
      </c>
      <c r="V20" s="2400"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7"/>
      <c r="E21" s="642"/>
      <c r="F21" s="642">
        <v>0</v>
      </c>
      <c r="G21" s="642"/>
      <c r="H21" s="642"/>
      <c r="I21" s="642"/>
      <c r="J21" s="642"/>
      <c r="K21" s="642"/>
      <c r="L21" s="642"/>
      <c r="M21" s="642"/>
      <c r="N21" s="642"/>
      <c r="O21" s="642"/>
      <c r="P21" s="642"/>
      <c r="Q21" s="642"/>
      <c r="R21" s="642"/>
      <c r="S21" s="643"/>
      <c r="T21" s="725"/>
      <c r="U21" s="2400"/>
      <c r="V21" s="2400"/>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8"/>
      <c r="E22" s="656" t="s">
        <v>22</v>
      </c>
      <c r="F22" s="657" t="s">
        <v>22</v>
      </c>
      <c r="G22" s="657" t="s">
        <v>22</v>
      </c>
      <c r="H22" s="658" t="s">
        <v>22</v>
      </c>
      <c r="I22" s="658"/>
      <c r="J22" s="658"/>
      <c r="K22" s="658"/>
      <c r="L22" s="658"/>
      <c r="M22" s="658"/>
      <c r="N22" s="658"/>
      <c r="O22" s="658"/>
      <c r="P22" s="658"/>
      <c r="Q22" s="658"/>
      <c r="R22" s="659"/>
      <c r="S22" s="1027"/>
      <c r="T22" s="725"/>
      <c r="U22" s="2400"/>
      <c r="V22" s="2400"/>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410"/>
      <c r="F27" s="2410"/>
      <c r="G27" s="2410"/>
      <c r="H27" s="2410"/>
      <c r="I27" s="2410"/>
      <c r="J27" s="2410"/>
      <c r="K27" s="2410"/>
      <c r="L27" s="2410"/>
      <c r="M27" s="2410"/>
      <c r="N27" s="2410"/>
      <c r="O27" s="2410"/>
      <c r="P27" s="2410"/>
      <c r="Q27" s="2410"/>
      <c r="R27" s="2410"/>
      <c r="CF27" s="512">
        <v>11</v>
      </c>
    </row>
    <row customHeight="1" ht="11.549999999999999">
      <c r="F28" s="765"/>
      <c r="G28" s="765"/>
      <c r="CF28" s="512">
        <v>11</v>
      </c>
    </row>
    <row customHeight="1" ht="11.25" hidden="1">
      <c r="A29" s="617" t="s">
        <v>82</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8C72C-6FDE-3922-8B97-B0BA244FAAB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57" t="s">
        <v>625</v>
      </c>
      <c r="C2" s="2057" t="s">
        <v>626</v>
      </c>
      <c r="D2" s="2056" t="s">
        <v>627</v>
      </c>
      <c r="E2" s="2060">
        <f>RIGHT(I2,LEN(I2)-SEARCH("#",SUBSTITUTE(I2,".","#",LEN(I2)-LEN(SUBSTITUTE(I2,".","")))))</f>
      </c>
      <c r="F2" s="2062">
        <f>J2</f>
        <v>0</v>
      </c>
      <c r="G2" s="1643"/>
      <c r="H2" s="2063"/>
      <c r="I2" s="2053"/>
      <c r="J2" s="547"/>
      <c r="K2" s="2023" t="s">
        <v>553</v>
      </c>
      <c r="L2" s="758"/>
      <c r="M2" s="758"/>
      <c r="N2" s="550"/>
      <c r="O2" s="1532" t="s">
        <v>554</v>
      </c>
      <c r="P2" s="550"/>
      <c r="Q2" s="1643"/>
      <c r="R2" s="1643"/>
      <c r="W2" s="1643"/>
      <c r="Z2" s="551"/>
      <c r="AF2" s="1639"/>
      <c r="AG2" s="1639"/>
      <c r="AH2" s="1639"/>
      <c r="AI2" s="1639"/>
      <c r="AJ2" s="1639"/>
      <c r="AK2" s="1373">
        <v>0</v>
      </c>
    </row>
    <row customHeight="1" ht="11.25" hidden="1">
      <c r="E3" s="2055" t="s">
        <v>628</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33" t="s">
        <v>629</v>
      </c>
      <c r="J6" s="2333"/>
      <c r="K6" s="2333"/>
      <c r="L6" s="2333"/>
      <c r="M6" s="2333"/>
      <c r="O6" s="563"/>
      <c r="AK6" s="1638">
        <v>55</v>
      </c>
    </row>
    <row customHeight="1" ht="25.2">
      <c r="I7" s="2275" t="str">
        <f>IF(org=0,"Не определено",org)</f>
        <v>Общество с ограниченной ответственностью "Сигнал", г. Серов</v>
      </c>
      <c r="J7" s="2275"/>
      <c r="K7" s="2275"/>
      <c r="L7" s="2275"/>
      <c r="M7" s="2275"/>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117</v>
      </c>
      <c r="AK9" s="1643">
        <v>1</v>
      </c>
    </row>
    <row customHeight="1" ht="11.549999999999999">
      <c r="E10" s="2054" t="s">
        <v>630</v>
      </c>
      <c r="I10" s="718"/>
      <c r="J10" s="2393" t="s">
        <v>105</v>
      </c>
      <c r="K10" s="2394"/>
      <c r="L10" s="2033" t="str">
        <f>IF(L9="","",INDEX(DIFFERENTIATION_UNMERGE_VD,MATCH(L9,DIFFERENTIATION_ID_DIFF,0)))</f>
        <v/>
      </c>
      <c r="M10" s="2033" t="str">
        <f>IF(M9="","",INDEX(DIFFERENTIATION_UNMERGE_VD,MATCH(M9,DIFFERENTIATION_ID_DIFF,0)))</f>
        <v>Водоотведение</v>
      </c>
      <c r="O10" s="2153" t="s">
        <v>300</v>
      </c>
      <c r="AK10" s="1638">
        <v>11</v>
      </c>
    </row>
    <row customHeight="1" ht="11.549999999999999">
      <c r="E11" s="2054" t="s">
        <v>631</v>
      </c>
      <c r="I11" s="718"/>
      <c r="J11" s="2393" t="s">
        <v>561</v>
      </c>
      <c r="K11" s="2394"/>
      <c r="L11" s="2033" t="str">
        <f>IF(L9="","",INDEX(DIFFERENTIATION_UNMERGE_AREA,MATCH(L9,DIFFERENTIATION_ID_DIFF,0)))</f>
        <v/>
      </c>
      <c r="M11" s="2033" t="str">
        <f>IF(M9="","",INDEX(DIFFERENTIATION_UNMERGE_AREA,MATCH(M9,DIFFERENTIATION_ID_DIFF,0)))</f>
        <v>Территория 1</v>
      </c>
      <c r="O11" s="2153"/>
      <c r="AK11" s="1638">
        <v>11</v>
      </c>
    </row>
    <row customHeight="1" ht="11.549999999999999">
      <c r="E12" s="2054" t="s">
        <v>632</v>
      </c>
      <c r="I12" s="1669"/>
      <c r="J12" s="2393" t="s">
        <v>562</v>
      </c>
      <c r="K12" s="2394"/>
      <c r="L12" s="2033" t="str">
        <f>IF(L9="","",INDEX(DIFFERENTIATION_UNMERGE_SYSTEM,MATCH(L9,DIFFERENTIATION_ID_DIFF,0)))</f>
        <v/>
      </c>
      <c r="M12" s="2033" t="str">
        <f>IF(M9="","",INDEX(DIFFERENTIATION_UNMERGE_SYSTEM,MATCH(M9,DIFFERENTIATION_ID_DIFF,0)))</f>
        <v>без дифференциации</v>
      </c>
      <c r="O12" s="2153"/>
      <c r="AK12" s="1638">
        <v>11</v>
      </c>
    </row>
    <row customHeight="1" ht="11.549999999999999">
      <c r="E13" s="2054" t="s">
        <v>633</v>
      </c>
      <c r="F13" s="2054" t="s">
        <v>634</v>
      </c>
      <c r="I13" s="2395" t="s">
        <v>299</v>
      </c>
      <c r="J13" s="2396"/>
      <c r="K13" s="2396"/>
      <c r="L13" s="2031"/>
      <c r="M13" s="2071"/>
      <c r="O13" s="2153"/>
      <c r="AK13" s="1638">
        <v>11</v>
      </c>
    </row>
    <row customHeight="1" ht="24">
      <c r="I14" s="2024" t="s">
        <v>88</v>
      </c>
      <c r="J14" s="2024" t="s">
        <v>301</v>
      </c>
      <c r="K14" s="2024" t="s">
        <v>563</v>
      </c>
      <c r="L14" s="2064" t="s">
        <v>302</v>
      </c>
      <c r="M14" s="2065" t="s">
        <v>302</v>
      </c>
      <c r="O14" s="2153"/>
      <c r="AK14" s="1638">
        <v>23</v>
      </c>
    </row>
    <row customHeight="1" ht="24">
      <c r="A15" s="2058"/>
      <c r="B15" s="2057" t="s">
        <v>635</v>
      </c>
      <c r="C15" s="2057" t="s">
        <v>636</v>
      </c>
      <c r="D15" s="2056" t="s">
        <v>637</v>
      </c>
      <c r="E15" s="2060" t="s">
        <v>638</v>
      </c>
      <c r="F15" s="2060" t="s">
        <v>638</v>
      </c>
      <c r="G15" s="1643" t="s">
        <v>589</v>
      </c>
      <c r="H15" s="2025"/>
      <c r="I15" s="1637">
        <v>1</v>
      </c>
      <c r="J15" s="2026" t="s">
        <v>639</v>
      </c>
      <c r="K15" s="2024" t="s">
        <v>305</v>
      </c>
      <c r="L15" s="669"/>
      <c r="M15" s="825"/>
      <c r="N15" s="550" t="s">
        <v>640</v>
      </c>
      <c r="O15" s="1532" t="s">
        <v>641</v>
      </c>
      <c r="P15" s="550" t="s">
        <v>640</v>
      </c>
      <c r="AK15" s="1638">
        <v>23</v>
      </c>
    </row>
    <row customHeight="1" ht="35.699999999999996">
      <c r="A16" s="2058"/>
      <c r="B16" s="2057" t="s">
        <v>642</v>
      </c>
      <c r="C16" s="2057" t="s">
        <v>643</v>
      </c>
      <c r="D16" s="2056" t="s">
        <v>627</v>
      </c>
      <c r="E16" s="2060" t="s">
        <v>638</v>
      </c>
      <c r="F16" s="2060" t="s">
        <v>638</v>
      </c>
      <c r="H16" s="2025"/>
      <c r="I16" s="1636">
        <v>2</v>
      </c>
      <c r="J16" s="2067" t="s">
        <v>644</v>
      </c>
      <c r="K16" s="2066" t="s">
        <v>553</v>
      </c>
      <c r="L16" s="2072"/>
      <c r="M16" s="1682"/>
      <c r="N16" s="550" t="s">
        <v>640</v>
      </c>
      <c r="O16" s="1532" t="s">
        <v>645</v>
      </c>
      <c r="P16" s="550" t="s">
        <v>640</v>
      </c>
      <c r="AK16" s="1638">
        <v>34</v>
      </c>
    </row>
    <row s="1649" customFormat="1" customHeight="1" ht="17.25" hidden="1">
      <c r="A17" s="1174"/>
      <c r="B17" s="1174"/>
      <c r="C17" s="1174"/>
      <c r="D17" s="1174"/>
      <c r="E17" s="1174"/>
      <c r="H17" s="1331"/>
      <c r="I17" s="1020" t="s">
        <v>646</v>
      </c>
      <c r="J17" s="998"/>
      <c r="K17" s="1020"/>
      <c r="L17" s="999"/>
      <c r="M17" s="999"/>
      <c r="O17" s="1392"/>
      <c r="AK17" s="1643">
        <v>1</v>
      </c>
    </row>
    <row s="1373" customFormat="1" customHeight="1" ht="24">
      <c r="A18" s="994"/>
      <c r="B18" s="994"/>
      <c r="C18" s="994"/>
      <c r="D18" s="994"/>
      <c r="E18" s="994"/>
      <c r="G18" s="1643"/>
      <c r="H18" s="1640"/>
      <c r="I18" s="577"/>
      <c r="J18" s="578" t="s">
        <v>597</v>
      </c>
      <c r="K18" s="579"/>
      <c r="L18" s="2074"/>
      <c r="M18" s="580"/>
      <c r="N18" s="550"/>
      <c r="O18" s="1532" t="s">
        <v>598</v>
      </c>
      <c r="P18" s="550"/>
      <c r="Q18" s="1643"/>
      <c r="R18" s="1643"/>
      <c r="W18" s="1643"/>
      <c r="Z18" s="551"/>
      <c r="AF18" s="1639"/>
      <c r="AG18" s="1639"/>
      <c r="AH18" s="1639"/>
      <c r="AI18" s="1639"/>
      <c r="AJ18" s="1639"/>
      <c r="AK18" s="1373">
        <v>23</v>
      </c>
    </row>
    <row customHeight="1" ht="19.95">
      <c r="A19" s="2058"/>
      <c r="B19" s="2057" t="s">
        <v>647</v>
      </c>
      <c r="C19" s="2057" t="s">
        <v>648</v>
      </c>
      <c r="D19" s="2056" t="s">
        <v>627</v>
      </c>
      <c r="E19" s="2060" t="s">
        <v>638</v>
      </c>
      <c r="F19" s="2060" t="s">
        <v>638</v>
      </c>
      <c r="H19" s="2025"/>
      <c r="I19" s="1671">
        <v>3</v>
      </c>
      <c r="J19" s="2026" t="s">
        <v>648</v>
      </c>
      <c r="K19" s="2022" t="s">
        <v>553</v>
      </c>
      <c r="L19" s="734"/>
      <c r="M19" s="564"/>
      <c r="N19" s="550"/>
      <c r="O19" s="1532" t="s">
        <v>649</v>
      </c>
      <c r="P19" s="550"/>
      <c r="AK19" s="1638">
        <v>19</v>
      </c>
    </row>
    <row customHeight="1" ht="77.7">
      <c r="A20" s="2058"/>
      <c r="B20" s="2057" t="s">
        <v>650</v>
      </c>
      <c r="C20" s="2057" t="s">
        <v>651</v>
      </c>
      <c r="D20" s="2056" t="s">
        <v>627</v>
      </c>
      <c r="E20" s="2060" t="s">
        <v>638</v>
      </c>
      <c r="F20" s="2060" t="s">
        <v>638</v>
      </c>
      <c r="H20" s="2025"/>
      <c r="I20" s="1671">
        <v>4</v>
      </c>
      <c r="J20" s="2026" t="s">
        <v>652</v>
      </c>
      <c r="K20" s="2022" t="s">
        <v>594</v>
      </c>
      <c r="L20" s="734"/>
      <c r="M20" s="564"/>
      <c r="N20" s="550"/>
      <c r="O20" s="1532"/>
      <c r="P20" s="550"/>
      <c r="AK20" s="1638">
        <v>74</v>
      </c>
    </row>
    <row customHeight="1" ht="35.699999999999996">
      <c r="A21" s="2058"/>
      <c r="B21" s="2057" t="s">
        <v>653</v>
      </c>
      <c r="C21" s="2057" t="s">
        <v>654</v>
      </c>
      <c r="D21" s="2056" t="s">
        <v>627</v>
      </c>
      <c r="E21" s="2060" t="s">
        <v>638</v>
      </c>
      <c r="F21" s="2060" t="s">
        <v>638</v>
      </c>
      <c r="H21" s="2025"/>
      <c r="I21" s="1671">
        <v>5</v>
      </c>
      <c r="J21" s="2026" t="s">
        <v>655</v>
      </c>
      <c r="K21" s="2022" t="s">
        <v>594</v>
      </c>
      <c r="L21" s="734"/>
      <c r="M21" s="564"/>
      <c r="N21" s="550"/>
      <c r="O21" s="1532" t="s">
        <v>649</v>
      </c>
      <c r="P21" s="550"/>
      <c r="AK21" s="1638">
        <v>34</v>
      </c>
    </row>
    <row customHeight="1" ht="48.29999999999999">
      <c r="A22" s="2058"/>
      <c r="B22" s="2057" t="s">
        <v>656</v>
      </c>
      <c r="C22" s="2057" t="s">
        <v>657</v>
      </c>
      <c r="D22" s="2056" t="s">
        <v>627</v>
      </c>
      <c r="E22" s="2060" t="s">
        <v>638</v>
      </c>
      <c r="F22" s="2060" t="s">
        <v>638</v>
      </c>
      <c r="H22" s="2025"/>
      <c r="I22" s="1671">
        <v>6</v>
      </c>
      <c r="J22" s="2026" t="s">
        <v>658</v>
      </c>
      <c r="K22" s="2022" t="s">
        <v>594</v>
      </c>
      <c r="L22" s="734"/>
      <c r="M22" s="564"/>
      <c r="N22" s="550"/>
      <c r="O22" s="1532" t="s">
        <v>659</v>
      </c>
      <c r="P22" s="550"/>
      <c r="AK22" s="1638">
        <v>46</v>
      </c>
    </row>
    <row customHeight="1" ht="19.95">
      <c r="A23" s="2058"/>
      <c r="B23" s="2057" t="s">
        <v>660</v>
      </c>
      <c r="C23" s="2057" t="s">
        <v>661</v>
      </c>
      <c r="D23" s="2056" t="s">
        <v>627</v>
      </c>
      <c r="E23" s="2060" t="s">
        <v>638</v>
      </c>
      <c r="F23" s="2060" t="s">
        <v>638</v>
      </c>
      <c r="H23" s="2025"/>
      <c r="I23" s="1671" t="s">
        <v>662</v>
      </c>
      <c r="J23" s="1531" t="s">
        <v>663</v>
      </c>
      <c r="K23" s="2022" t="s">
        <v>594</v>
      </c>
      <c r="L23" s="734"/>
      <c r="M23" s="564"/>
      <c r="N23" s="550"/>
      <c r="O23" s="1532" t="s">
        <v>649</v>
      </c>
      <c r="P23" s="550"/>
      <c r="AK23" s="1638">
        <v>19</v>
      </c>
    </row>
    <row customHeight="1" ht="19.95">
      <c r="A24" s="2058"/>
      <c r="B24" s="2057" t="s">
        <v>664</v>
      </c>
      <c r="C24" s="2057" t="s">
        <v>665</v>
      </c>
      <c r="D24" s="2056" t="s">
        <v>627</v>
      </c>
      <c r="E24" s="2060" t="s">
        <v>638</v>
      </c>
      <c r="F24" s="2060" t="s">
        <v>638</v>
      </c>
      <c r="H24" s="2025"/>
      <c r="I24" s="1671" t="s">
        <v>666</v>
      </c>
      <c r="J24" s="1531" t="s">
        <v>667</v>
      </c>
      <c r="K24" s="2022" t="s">
        <v>594</v>
      </c>
      <c r="L24" s="734"/>
      <c r="M24" s="564"/>
      <c r="N24" s="550"/>
      <c r="O24" s="1532"/>
      <c r="P24" s="550"/>
      <c r="AK24" s="1638">
        <v>19</v>
      </c>
    </row>
    <row customHeight="1" ht="24">
      <c r="A25" s="2058"/>
      <c r="B25" s="2057" t="s">
        <v>668</v>
      </c>
      <c r="C25" s="2057" t="s">
        <v>669</v>
      </c>
      <c r="D25" s="2056" t="s">
        <v>627</v>
      </c>
      <c r="E25" s="2060" t="s">
        <v>638</v>
      </c>
      <c r="F25" s="2060" t="s">
        <v>638</v>
      </c>
      <c r="H25" s="2025"/>
      <c r="I25" s="1671" t="s">
        <v>670</v>
      </c>
      <c r="J25" s="1531" t="s">
        <v>671</v>
      </c>
      <c r="K25" s="2022" t="s">
        <v>594</v>
      </c>
      <c r="L25" s="734"/>
      <c r="M25" s="564"/>
      <c r="N25" s="550"/>
      <c r="O25" s="1532"/>
      <c r="P25" s="550"/>
      <c r="AK25" s="1638">
        <v>23</v>
      </c>
    </row>
    <row customHeight="1" ht="24">
      <c r="A26" s="2058"/>
      <c r="B26" s="2057" t="s">
        <v>672</v>
      </c>
      <c r="C26" s="2057" t="s">
        <v>673</v>
      </c>
      <c r="D26" s="2056" t="s">
        <v>627</v>
      </c>
      <c r="E26" s="2060" t="s">
        <v>638</v>
      </c>
      <c r="F26" s="2060" t="s">
        <v>638</v>
      </c>
      <c r="H26" s="2025"/>
      <c r="I26" s="1671">
        <v>7</v>
      </c>
      <c r="J26" s="2026" t="s">
        <v>673</v>
      </c>
      <c r="K26" s="2022" t="s">
        <v>674</v>
      </c>
      <c r="L26" s="734"/>
      <c r="M26" s="564"/>
      <c r="N26" s="550"/>
      <c r="O26" s="1532"/>
      <c r="P26" s="550"/>
      <c r="AK26" s="1638">
        <v>23</v>
      </c>
    </row>
    <row customHeight="1" ht="24">
      <c r="A27" s="2058"/>
      <c r="B27" s="2057" t="s">
        <v>675</v>
      </c>
      <c r="C27" s="2057" t="s">
        <v>676</v>
      </c>
      <c r="D27" s="2056" t="s">
        <v>627</v>
      </c>
      <c r="E27" s="2060" t="s">
        <v>638</v>
      </c>
      <c r="F27" s="2060" t="s">
        <v>638</v>
      </c>
      <c r="H27" s="2025"/>
      <c r="I27" s="1671">
        <v>8</v>
      </c>
      <c r="J27" s="2026" t="s">
        <v>676</v>
      </c>
      <c r="K27" s="2022" t="s">
        <v>599</v>
      </c>
      <c r="L27" s="734"/>
      <c r="M27" s="564"/>
      <c r="N27" s="550"/>
      <c r="O27" s="1532"/>
      <c r="P27" s="550"/>
      <c r="AK27" s="1638">
        <v>23</v>
      </c>
    </row>
    <row customHeight="1" ht="35.699999999999996">
      <c r="A28" s="2058"/>
      <c r="B28" s="2057" t="s">
        <v>677</v>
      </c>
      <c r="C28" s="2057" t="s">
        <v>678</v>
      </c>
      <c r="D28" s="2056" t="s">
        <v>627</v>
      </c>
      <c r="E28" s="2060" t="s">
        <v>638</v>
      </c>
      <c r="F28" s="2060" t="s">
        <v>638</v>
      </c>
      <c r="H28" s="2025"/>
      <c r="I28" s="1681">
        <v>9</v>
      </c>
      <c r="J28" s="2026" t="s">
        <v>679</v>
      </c>
      <c r="K28" s="2022" t="s">
        <v>557</v>
      </c>
      <c r="L28" s="734"/>
      <c r="M28" s="564"/>
      <c r="N28" s="550"/>
      <c r="O28" s="1532"/>
      <c r="P28" s="550"/>
      <c r="AK28" s="1638">
        <v>34</v>
      </c>
    </row>
    <row customHeight="1" ht="35.699999999999996">
      <c r="A29" s="2058"/>
      <c r="B29" s="2057" t="s">
        <v>680</v>
      </c>
      <c r="C29" s="2057" t="s">
        <v>681</v>
      </c>
      <c r="D29" s="2056" t="s">
        <v>627</v>
      </c>
      <c r="E29" s="2060" t="s">
        <v>638</v>
      </c>
      <c r="F29" s="2060" t="s">
        <v>638</v>
      </c>
      <c r="H29" s="2025"/>
      <c r="I29" s="1681">
        <v>10</v>
      </c>
      <c r="J29" s="2026" t="s">
        <v>682</v>
      </c>
      <c r="K29" s="2022" t="s">
        <v>557</v>
      </c>
      <c r="L29" s="734"/>
      <c r="M29" s="564"/>
      <c r="N29" s="550"/>
      <c r="O29" s="1532"/>
      <c r="P29" s="550"/>
      <c r="AK29" s="1638">
        <v>34</v>
      </c>
    </row>
    <row customHeight="1" ht="24">
      <c r="A30" s="2058"/>
      <c r="B30" s="2057" t="s">
        <v>683</v>
      </c>
      <c r="C30" s="2057" t="s">
        <v>684</v>
      </c>
      <c r="D30" s="2056" t="s">
        <v>627</v>
      </c>
      <c r="E30" s="2060" t="s">
        <v>638</v>
      </c>
      <c r="F30" s="2060" t="s">
        <v>638</v>
      </c>
      <c r="H30" s="2025"/>
      <c r="I30" s="1681">
        <v>11</v>
      </c>
      <c r="J30" s="2026" t="s">
        <v>684</v>
      </c>
      <c r="K30" s="2022" t="s">
        <v>600</v>
      </c>
      <c r="L30" s="2073"/>
      <c r="M30" s="1628"/>
      <c r="N30" s="550"/>
      <c r="O30" s="1532"/>
      <c r="P30" s="550"/>
      <c r="AK30" s="1638">
        <v>23</v>
      </c>
    </row>
    <row customHeight="1" ht="24">
      <c r="A31" s="2058"/>
      <c r="B31" s="2057" t="s">
        <v>685</v>
      </c>
      <c r="C31" s="2057" t="s">
        <v>686</v>
      </c>
      <c r="D31" s="2056" t="s">
        <v>627</v>
      </c>
      <c r="E31" s="2060" t="s">
        <v>638</v>
      </c>
      <c r="F31" s="2060" t="s">
        <v>638</v>
      </c>
      <c r="H31" s="2025"/>
      <c r="I31" s="1681">
        <v>12</v>
      </c>
      <c r="J31" s="2026" t="s">
        <v>686</v>
      </c>
      <c r="K31" s="2022" t="s">
        <v>600</v>
      </c>
      <c r="L31" s="2073"/>
      <c r="M31" s="1628"/>
      <c r="N31" s="550"/>
      <c r="O31" s="1532"/>
      <c r="P31" s="550"/>
      <c r="AK31" s="1638">
        <v>23</v>
      </c>
    </row>
    <row customHeight="1" ht="48.29999999999999">
      <c r="A32" s="2058"/>
      <c r="B32" s="2057" t="s">
        <v>687</v>
      </c>
      <c r="C32" s="2057" t="s">
        <v>688</v>
      </c>
      <c r="D32" s="2056" t="s">
        <v>627</v>
      </c>
      <c r="E32" s="2060" t="s">
        <v>638</v>
      </c>
      <c r="F32" s="2060" t="s">
        <v>638</v>
      </c>
      <c r="H32" s="2025"/>
      <c r="I32" s="1681">
        <v>13</v>
      </c>
      <c r="J32" s="2026" t="s">
        <v>689</v>
      </c>
      <c r="K32" s="2022" t="s">
        <v>610</v>
      </c>
      <c r="L32" s="734"/>
      <c r="M32" s="564"/>
      <c r="N32" s="550"/>
      <c r="O32" s="1532" t="s">
        <v>649</v>
      </c>
      <c r="P32" s="550"/>
      <c r="AK32" s="1638">
        <v>46</v>
      </c>
    </row>
    <row s="1373" customFormat="1" customHeight="1" ht="48.29999999999999">
      <c r="A33" s="2058"/>
      <c r="B33" s="2057" t="s">
        <v>690</v>
      </c>
      <c r="C33" s="2057" t="s">
        <v>691</v>
      </c>
      <c r="D33" s="2056" t="s">
        <v>627</v>
      </c>
      <c r="E33" s="2060" t="s">
        <v>638</v>
      </c>
      <c r="F33" s="2060" t="s">
        <v>638</v>
      </c>
      <c r="G33" s="1643"/>
      <c r="H33" s="2025"/>
      <c r="I33" s="1681">
        <v>14</v>
      </c>
      <c r="J33" s="2038" t="s">
        <v>692</v>
      </c>
      <c r="K33" s="2027" t="s">
        <v>693</v>
      </c>
      <c r="L33" s="734"/>
      <c r="M33" s="564"/>
      <c r="N33" s="550"/>
      <c r="O33" s="1532" t="s">
        <v>649</v>
      </c>
      <c r="P33" s="550"/>
      <c r="Q33" s="1643"/>
      <c r="R33" s="1643"/>
      <c r="W33" s="1643"/>
      <c r="Z33" s="551"/>
      <c r="AF33" s="1639"/>
      <c r="AG33" s="1639"/>
      <c r="AH33" s="1639"/>
      <c r="AI33" s="1639"/>
      <c r="AJ33" s="1639"/>
      <c r="AK33" s="1373">
        <v>46</v>
      </c>
    </row>
    <row customHeight="1" ht="108">
      <c r="A34" s="2058"/>
      <c r="B34" s="2057" t="s">
        <v>694</v>
      </c>
      <c r="C34" s="2057" t="s">
        <v>695</v>
      </c>
      <c r="D34" s="2056" t="s">
        <v>637</v>
      </c>
      <c r="E34" s="2060" t="s">
        <v>638</v>
      </c>
      <c r="F34" s="2060" t="s">
        <v>638</v>
      </c>
      <c r="G34" s="1643" t="s">
        <v>589</v>
      </c>
      <c r="H34" s="2025"/>
      <c r="I34" s="2036">
        <v>15</v>
      </c>
      <c r="J34" s="2037" t="s">
        <v>696</v>
      </c>
      <c r="K34" s="2022" t="s">
        <v>305</v>
      </c>
      <c r="L34" s="392"/>
      <c r="M34" s="1171"/>
      <c r="N34" s="550"/>
      <c r="O34" s="1532" t="s">
        <v>641</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82</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2445E-047A-9A89-014A-76DE82FA0C9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23"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697</v>
      </c>
      <c r="C2" s="2057" t="s">
        <v>698</v>
      </c>
      <c r="D2" s="2056" t="s">
        <v>637</v>
      </c>
      <c r="E2" s="2062">
        <f>I2-3</f>
        <v>-3</v>
      </c>
      <c r="F2" s="2062">
        <f>J2</f>
        <v>0</v>
      </c>
      <c r="H2" s="1736" t="s">
        <v>574</v>
      </c>
      <c r="I2" s="2028"/>
      <c r="J2" s="1688"/>
      <c r="K2" s="2022" t="s">
        <v>305</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74" t="s">
        <v>699</v>
      </c>
      <c r="J5" s="2274"/>
      <c r="K5" s="2274"/>
      <c r="L5" s="2274"/>
      <c r="M5" s="273"/>
      <c r="W5" s="1638">
        <v>48</v>
      </c>
    </row>
    <row customHeight="1" ht="18">
      <c r="H6" s="383"/>
      <c r="I6" s="2275" t="str">
        <f>IF(org=0,"Не определено",org)</f>
        <v>Общество с ограниченной ответственностью "Сигнал", г. Серов</v>
      </c>
      <c r="J6" s="2275"/>
      <c r="K6" s="2275"/>
      <c r="L6" s="2275"/>
      <c r="M6" s="273"/>
      <c r="W6" s="1638">
        <v>17</v>
      </c>
    </row>
    <row customHeight="1" ht="14.699999999999998">
      <c r="H7" s="383"/>
      <c r="I7" s="464"/>
      <c r="J7" s="470"/>
      <c r="K7" s="470"/>
      <c r="L7" s="759"/>
      <c r="M7" s="200"/>
      <c r="W7" s="1638">
        <v>14</v>
      </c>
    </row>
    <row customHeight="1" ht="14.699999999999998">
      <c r="H8" s="383"/>
      <c r="I8" s="2412" t="s">
        <v>299</v>
      </c>
      <c r="J8" s="2413"/>
      <c r="K8" s="2413"/>
      <c r="L8" s="2414"/>
      <c r="M8" s="2415" t="s">
        <v>300</v>
      </c>
      <c r="W8" s="1638">
        <v>14</v>
      </c>
    </row>
    <row customHeight="1" ht="35.699999999999996">
      <c r="E9" s="2055" t="s">
        <v>628</v>
      </c>
      <c r="F9" s="2055" t="s">
        <v>634</v>
      </c>
      <c r="H9" s="383"/>
      <c r="I9" s="2029" t="s">
        <v>88</v>
      </c>
      <c r="J9" s="2030" t="s">
        <v>301</v>
      </c>
      <c r="K9" s="2068" t="s">
        <v>563</v>
      </c>
      <c r="L9" s="2069" t="s">
        <v>302</v>
      </c>
      <c r="M9" s="2415"/>
      <c r="W9" s="1638">
        <v>34</v>
      </c>
    </row>
    <row customHeight="1" ht="35.699999999999996">
      <c r="B10" s="2057" t="s">
        <v>700</v>
      </c>
      <c r="C10" s="2057" t="s">
        <v>701</v>
      </c>
      <c r="D10" s="2056" t="s">
        <v>637</v>
      </c>
      <c r="E10" s="2060" t="s">
        <v>638</v>
      </c>
      <c r="F10" s="2060" t="s">
        <v>638</v>
      </c>
      <c r="H10" s="383"/>
      <c r="I10" s="2028" t="s">
        <v>109</v>
      </c>
      <c r="J10" s="1890" t="s">
        <v>702</v>
      </c>
      <c r="K10" s="2022" t="s">
        <v>305</v>
      </c>
      <c r="L10" s="825"/>
      <c r="M10" s="304" t="s">
        <v>703</v>
      </c>
      <c r="W10" s="1638">
        <v>34</v>
      </c>
    </row>
    <row customHeight="1" ht="50.25">
      <c r="B11" s="2057" t="s">
        <v>704</v>
      </c>
      <c r="C11" s="2057" t="s">
        <v>705</v>
      </c>
      <c r="D11" s="2056" t="s">
        <v>637</v>
      </c>
      <c r="E11" s="2060" t="s">
        <v>638</v>
      </c>
      <c r="F11" s="2060" t="s">
        <v>638</v>
      </c>
      <c r="H11" s="383"/>
      <c r="I11" s="2028" t="s">
        <v>110</v>
      </c>
      <c r="J11" s="1890" t="s">
        <v>706</v>
      </c>
      <c r="K11" s="2022" t="s">
        <v>305</v>
      </c>
      <c r="L11" s="825"/>
      <c r="M11" s="304" t="s">
        <v>703</v>
      </c>
      <c r="W11" s="1638">
        <v>48</v>
      </c>
    </row>
    <row customHeight="1" ht="48.29999999999999">
      <c r="B12" s="2057" t="s">
        <v>707</v>
      </c>
      <c r="C12" s="2057" t="s">
        <v>708</v>
      </c>
      <c r="D12" s="2056" t="s">
        <v>637</v>
      </c>
      <c r="E12" s="2060" t="s">
        <v>638</v>
      </c>
      <c r="F12" s="2060" t="s">
        <v>638</v>
      </c>
      <c r="H12" s="1694"/>
      <c r="I12" s="2028" t="s">
        <v>90</v>
      </c>
      <c r="J12" s="2035" t="s">
        <v>709</v>
      </c>
      <c r="K12" s="2022" t="s">
        <v>305</v>
      </c>
      <c r="L12" s="825"/>
      <c r="M12" s="304" t="s">
        <v>710</v>
      </c>
      <c r="N12" s="1631"/>
      <c r="P12" s="1638"/>
      <c r="W12" s="1638">
        <v>46</v>
      </c>
    </row>
    <row customHeight="1" ht="14.699999999999998">
      <c r="E13" s="350"/>
      <c r="H13" s="383"/>
      <c r="I13" s="354"/>
      <c r="J13" s="658" t="s">
        <v>711</v>
      </c>
      <c r="K13" s="578"/>
      <c r="L13" s="221"/>
      <c r="M13" s="304"/>
      <c r="W13" s="1638">
        <v>14</v>
      </c>
    </row>
    <row customHeight="1" ht="14.699999999999998">
      <c r="E14" s="350"/>
      <c r="H14" s="383"/>
      <c r="I14" s="1064"/>
      <c r="J14" s="1683"/>
      <c r="K14" s="1684"/>
      <c r="L14" s="1685"/>
      <c r="M14" s="2032"/>
      <c r="W14" s="1638">
        <v>14</v>
      </c>
    </row>
    <row customHeight="1" ht="14.699999999999998">
      <c r="I15" s="1687"/>
      <c r="J15" s="2411"/>
      <c r="K15" s="2411"/>
      <c r="L15" s="2411"/>
      <c r="M15" s="2411"/>
      <c r="W15" s="1638">
        <v>14</v>
      </c>
    </row>
    <row customHeight="1" ht="21" hidden="1">
      <c r="A16" s="2034" t="s">
        <v>82</v>
      </c>
      <c r="B16" s="1638">
        <v>9</v>
      </c>
      <c r="C16" s="1638">
        <v>9</v>
      </c>
      <c r="D16" s="1638">
        <v>9</v>
      </c>
      <c r="E16" s="2034" t="s">
        <v>149</v>
      </c>
      <c r="F16" s="2059" t="s">
        <v>149</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AFA13-C338-4AAA-AFB3-910147530A19}"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549</v>
      </c>
      <c r="H2" s="548"/>
      <c r="I2" s="548"/>
      <c r="J2" s="549" t="s">
        <v>712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33" t="s">
        <v>713</v>
      </c>
      <c r="F6" s="2333"/>
      <c r="G6" s="2333"/>
      <c r="H6" s="2333"/>
      <c r="I6" s="2333"/>
      <c r="J6" s="563"/>
      <c r="AF6" s="1638">
        <v>30</v>
      </c>
    </row>
    <row customHeight="1" ht="11.549999999999999">
      <c r="E7" s="2275" t="str">
        <f>IF(org=0,"Не определено",org)</f>
        <v>Общество с ограниченной ответственностью "Сигнал", г. Серов</v>
      </c>
      <c r="F7" s="2275"/>
      <c r="G7" s="2275"/>
      <c r="H7" s="2275"/>
      <c r="I7" s="2275"/>
      <c r="AF7" s="1638">
        <v>11</v>
      </c>
    </row>
    <row customHeight="1" ht="11.549999999999999">
      <c r="E8" s="1142"/>
      <c r="F8" s="1142"/>
      <c r="G8" s="1142"/>
      <c r="H8" s="1142"/>
      <c r="I8" s="1142"/>
      <c r="AF8" s="1638">
        <v>11</v>
      </c>
    </row>
    <row s="1649" customFormat="1" customHeight="1" ht="4.2">
      <c r="A9" s="1174"/>
      <c r="D9" s="1649"/>
      <c r="H9" s="896"/>
      <c r="I9" s="896" t="s">
        <v>117</v>
      </c>
      <c r="AF9" s="1643">
        <v>4</v>
      </c>
    </row>
    <row customHeight="1" ht="11.549999999999999">
      <c r="E10" s="718"/>
      <c r="F10" s="2393" t="s">
        <v>105</v>
      </c>
      <c r="G10" s="2394"/>
      <c r="H10" s="1559" t="str">
        <f>IF(H9="","",INDEX(DIFFERENTIATION_UNMERGE_VD,MATCH(H9,DIFFERENTIATION_ID_DIFF,0)))</f>
        <v/>
      </c>
      <c r="I10" s="1559" t="str">
        <f>IF(I9="","",INDEX(DIFFERENTIATION_UNMERGE_VD,MATCH(I9,DIFFERENTIATION_ID_DIFF,0)))</f>
        <v>Водоотведение</v>
      </c>
      <c r="J10" s="2153" t="s">
        <v>300</v>
      </c>
      <c r="AF10" s="1638">
        <v>11</v>
      </c>
    </row>
    <row customHeight="1" ht="11.549999999999999">
      <c r="E11" s="718"/>
      <c r="F11" s="2393" t="s">
        <v>561</v>
      </c>
      <c r="G11" s="2394"/>
      <c r="H11" s="1559" t="str">
        <f>IF(H9="","",INDEX(DIFFERENTIATION_UNMERGE_AREA,MATCH(H9,DIFFERENTIATION_ID_DIFF,0)))</f>
        <v/>
      </c>
      <c r="I11" s="1559" t="str">
        <f>IF(I9="","",INDEX(DIFFERENTIATION_UNMERGE_AREA,MATCH(I9,DIFFERENTIATION_ID_DIFF,0)))</f>
        <v>Территория 1</v>
      </c>
      <c r="J11" s="2153"/>
      <c r="AF11" s="1638">
        <v>11</v>
      </c>
    </row>
    <row customHeight="1" ht="1.05">
      <c r="E12" s="1669"/>
      <c r="F12" s="2416" t="s">
        <v>562</v>
      </c>
      <c r="G12" s="2417"/>
      <c r="H12" s="1670" t="str">
        <f>IF(H9="","",INDEX(DIFFERENTIATION_UNMERGE_SYSTEM,MATCH(H9,DIFFERENTIATION_ID_DIFF,0)))</f>
        <v/>
      </c>
      <c r="I12" s="1670" t="str">
        <f>IF(I9="","",INDEX(DIFFERENTIATION_UNMERGE_SYSTEM,MATCH(I9,DIFFERENTIATION_ID_DIFF,0)))</f>
        <v>без дифференциации</v>
      </c>
      <c r="J12" s="2153"/>
      <c r="AF12" s="1638">
        <v>1</v>
      </c>
    </row>
    <row customHeight="1" ht="11.549999999999999">
      <c r="E13" s="2395" t="s">
        <v>299</v>
      </c>
      <c r="F13" s="2396"/>
      <c r="G13" s="2396"/>
      <c r="H13" s="1558"/>
      <c r="I13" s="1558"/>
      <c r="J13" s="2153"/>
      <c r="AF13" s="1638">
        <v>11</v>
      </c>
    </row>
    <row customHeight="1" ht="24">
      <c r="E14" s="1646" t="s">
        <v>88</v>
      </c>
      <c r="F14" s="1641" t="s">
        <v>301</v>
      </c>
      <c r="G14" s="1641" t="s">
        <v>563</v>
      </c>
      <c r="H14" s="1641" t="s">
        <v>302</v>
      </c>
      <c r="I14" s="1641" t="s">
        <v>302</v>
      </c>
      <c r="J14" s="2153"/>
      <c r="AF14" s="1638">
        <v>23</v>
      </c>
    </row>
    <row customHeight="1" ht="19.95">
      <c r="D15" s="1645"/>
      <c r="E15" s="1637" t="s">
        <v>109</v>
      </c>
      <c r="F15" s="714" t="s">
        <v>714</v>
      </c>
      <c r="G15" s="1653" t="s">
        <v>549</v>
      </c>
      <c r="H15" s="564"/>
      <c r="I15" s="564"/>
      <c r="J15" s="296" t="s">
        <v>715</v>
      </c>
      <c r="K15" s="550" t="s">
        <v>640</v>
      </c>
      <c r="AF15" s="1638">
        <v>19</v>
      </c>
    </row>
    <row customHeight="1" ht="35.699999999999996">
      <c r="D16" s="1645"/>
      <c r="E16" s="1637" t="s">
        <v>110</v>
      </c>
      <c r="F16" s="714" t="s">
        <v>716</v>
      </c>
      <c r="G16" s="1653" t="s">
        <v>549</v>
      </c>
      <c r="H16" s="565">
        <f>SUM(H17,H20,H23,H26,H29:H32,H35)</f>
        <v>0</v>
      </c>
      <c r="I16" s="565">
        <f>SUM(I17,I20,I23,I26,I29:I32,I35)</f>
        <v>0</v>
      </c>
      <c r="J16" s="296" t="s">
        <v>717</v>
      </c>
      <c r="K16" s="550" t="s">
        <v>640</v>
      </c>
      <c r="AF16" s="1638">
        <v>34</v>
      </c>
    </row>
    <row customHeight="1" ht="19.95">
      <c r="D17" s="1645"/>
      <c r="E17" s="1671" t="s">
        <v>718</v>
      </c>
      <c r="F17" s="961" t="s">
        <v>719</v>
      </c>
      <c r="G17" s="1650" t="s">
        <v>549</v>
      </c>
      <c r="H17" s="564"/>
      <c r="I17" s="564"/>
      <c r="J17" s="296" t="s">
        <v>720</v>
      </c>
      <c r="K17" s="550"/>
      <c r="AF17" s="1638">
        <v>19</v>
      </c>
    </row>
    <row customHeight="1" ht="24">
      <c r="D18" s="1645"/>
      <c r="E18" s="1671" t="s">
        <v>721</v>
      </c>
      <c r="F18" s="1657" t="s">
        <v>722</v>
      </c>
      <c r="G18" s="1650" t="s">
        <v>549</v>
      </c>
      <c r="H18" s="564"/>
      <c r="I18" s="564"/>
      <c r="J18" s="296" t="s">
        <v>723</v>
      </c>
      <c r="K18" s="550"/>
      <c r="AF18" s="1638">
        <v>23</v>
      </c>
    </row>
    <row customHeight="1" ht="35.699999999999996">
      <c r="D19" s="1645"/>
      <c r="E19" s="1671" t="s">
        <v>724</v>
      </c>
      <c r="F19" s="1657" t="s">
        <v>725</v>
      </c>
      <c r="G19" s="1650" t="s">
        <v>549</v>
      </c>
      <c r="H19" s="564"/>
      <c r="I19" s="564"/>
      <c r="J19" s="296"/>
      <c r="K19" s="550"/>
      <c r="AF19" s="1638">
        <v>34</v>
      </c>
    </row>
    <row customHeight="1" ht="19.95">
      <c r="D20" s="1645"/>
      <c r="E20" s="1671" t="s">
        <v>306</v>
      </c>
      <c r="F20" s="961" t="s">
        <v>726</v>
      </c>
      <c r="G20" s="1650" t="s">
        <v>549</v>
      </c>
      <c r="H20" s="564"/>
      <c r="I20" s="564"/>
      <c r="J20" s="296" t="s">
        <v>727</v>
      </c>
      <c r="K20" s="550"/>
      <c r="AF20" s="1638">
        <v>19</v>
      </c>
    </row>
    <row customHeight="1" ht="19.95">
      <c r="D21" s="1645"/>
      <c r="E21" s="1671" t="s">
        <v>728</v>
      </c>
      <c r="F21" s="1657" t="s">
        <v>729</v>
      </c>
      <c r="G21" s="1650" t="s">
        <v>549</v>
      </c>
      <c r="H21" s="564"/>
      <c r="I21" s="564"/>
      <c r="J21" s="296"/>
      <c r="K21" s="550"/>
      <c r="AF21" s="1638">
        <v>19</v>
      </c>
    </row>
    <row customHeight="1" ht="19.95">
      <c r="D22" s="1645"/>
      <c r="E22" s="1671" t="s">
        <v>730</v>
      </c>
      <c r="F22" s="1657" t="s">
        <v>731</v>
      </c>
      <c r="G22" s="1650" t="s">
        <v>549</v>
      </c>
      <c r="H22" s="564"/>
      <c r="I22" s="564"/>
      <c r="J22" s="296"/>
      <c r="K22" s="550"/>
      <c r="AF22" s="1638">
        <v>19</v>
      </c>
    </row>
    <row customHeight="1" ht="24">
      <c r="D23" s="1645"/>
      <c r="E23" s="1671" t="s">
        <v>309</v>
      </c>
      <c r="F23" s="961" t="s">
        <v>732</v>
      </c>
      <c r="G23" s="1650" t="s">
        <v>549</v>
      </c>
      <c r="H23" s="564"/>
      <c r="I23" s="564"/>
      <c r="J23" s="296" t="s">
        <v>733</v>
      </c>
      <c r="K23" s="550"/>
      <c r="AF23" s="1638">
        <v>23</v>
      </c>
    </row>
    <row customHeight="1" ht="19.95">
      <c r="D24" s="1645"/>
      <c r="E24" s="1671" t="s">
        <v>734</v>
      </c>
      <c r="F24" s="1657" t="s">
        <v>735</v>
      </c>
      <c r="G24" s="1650" t="s">
        <v>549</v>
      </c>
      <c r="H24" s="564"/>
      <c r="I24" s="564"/>
      <c r="J24" s="296"/>
      <c r="K24" s="550"/>
      <c r="AF24" s="1638">
        <v>19</v>
      </c>
    </row>
    <row customHeight="1" ht="35.699999999999996">
      <c r="D25" s="1645"/>
      <c r="E25" s="1671" t="s">
        <v>736</v>
      </c>
      <c r="F25" s="1657" t="s">
        <v>737</v>
      </c>
      <c r="G25" s="1650" t="s">
        <v>549</v>
      </c>
      <c r="H25" s="564"/>
      <c r="I25" s="564"/>
      <c r="J25" s="296"/>
      <c r="K25" s="550"/>
      <c r="AF25" s="1638">
        <v>34</v>
      </c>
    </row>
    <row customHeight="1" ht="24">
      <c r="D26" s="1645"/>
      <c r="E26" s="1671" t="s">
        <v>738</v>
      </c>
      <c r="F26" s="961" t="s">
        <v>739</v>
      </c>
      <c r="G26" s="1650" t="s">
        <v>549</v>
      </c>
      <c r="H26" s="564"/>
      <c r="I26" s="564"/>
      <c r="J26" s="296" t="s">
        <v>740</v>
      </c>
      <c r="K26" s="550"/>
      <c r="AF26" s="1638">
        <v>23</v>
      </c>
    </row>
    <row customHeight="1" ht="19.95">
      <c r="D27" s="1645"/>
      <c r="E27" s="1681" t="s">
        <v>741</v>
      </c>
      <c r="F27" s="1657" t="s">
        <v>742</v>
      </c>
      <c r="G27" s="1661" t="s">
        <v>549</v>
      </c>
      <c r="H27" s="1682"/>
      <c r="I27" s="1682"/>
      <c r="J27" s="296"/>
      <c r="K27" s="550"/>
      <c r="AF27" s="1638">
        <v>19</v>
      </c>
    </row>
    <row customHeight="1" ht="19.95">
      <c r="D28" s="1645"/>
      <c r="E28" s="1681" t="s">
        <v>743</v>
      </c>
      <c r="F28" s="1657" t="s">
        <v>744</v>
      </c>
      <c r="G28" s="1661" t="s">
        <v>549</v>
      </c>
      <c r="H28" s="1682"/>
      <c r="I28" s="1682"/>
      <c r="J28" s="296"/>
      <c r="K28" s="550"/>
      <c r="AF28" s="1638">
        <v>19</v>
      </c>
    </row>
    <row customHeight="1" ht="19.95">
      <c r="D29" s="1645"/>
      <c r="E29" s="1681" t="s">
        <v>745</v>
      </c>
      <c r="F29" s="961" t="s">
        <v>746</v>
      </c>
      <c r="G29" s="1661" t="s">
        <v>549</v>
      </c>
      <c r="H29" s="1682"/>
      <c r="I29" s="1682"/>
      <c r="J29" s="296"/>
      <c r="K29" s="550"/>
      <c r="AF29" s="1638">
        <v>19</v>
      </c>
    </row>
    <row customHeight="1" ht="19.95">
      <c r="D30" s="1645"/>
      <c r="E30" s="1681" t="s">
        <v>747</v>
      </c>
      <c r="F30" s="961" t="s">
        <v>748</v>
      </c>
      <c r="G30" s="1661" t="s">
        <v>549</v>
      </c>
      <c r="H30" s="1682"/>
      <c r="I30" s="1682"/>
      <c r="J30" s="296"/>
      <c r="K30" s="550"/>
      <c r="AF30" s="1638">
        <v>19</v>
      </c>
    </row>
    <row customHeight="1" ht="19.95">
      <c r="D31" s="1645"/>
      <c r="E31" s="1681" t="s">
        <v>749</v>
      </c>
      <c r="F31" s="961" t="s">
        <v>750</v>
      </c>
      <c r="G31" s="1661" t="s">
        <v>549</v>
      </c>
      <c r="H31" s="1682"/>
      <c r="I31" s="1682"/>
      <c r="J31" s="296"/>
      <c r="K31" s="550"/>
      <c r="AF31" s="1638">
        <v>19</v>
      </c>
    </row>
    <row s="1373" customFormat="1" customHeight="1" ht="35.699999999999996">
      <c r="A32" s="994"/>
      <c r="C32" s="1643"/>
      <c r="D32" s="1645"/>
      <c r="E32" s="1681" t="s">
        <v>751</v>
      </c>
      <c r="F32" s="961" t="s">
        <v>752</v>
      </c>
      <c r="G32" s="1651" t="s">
        <v>549</v>
      </c>
      <c r="H32" s="586">
        <f>SUM(H33:H34)</f>
        <v>0</v>
      </c>
      <c r="I32" s="586">
        <f>SUM(I33:I34)</f>
        <v>0</v>
      </c>
      <c r="J32" s="296" t="s">
        <v>753</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2" t="s">
        <v>586</v>
      </c>
      <c r="G34" s="579"/>
      <c r="H34" s="580"/>
      <c r="I34" s="580"/>
      <c r="J34" s="308" t="s">
        <v>754</v>
      </c>
      <c r="K34" s="550"/>
      <c r="L34" s="1643"/>
      <c r="M34" s="1643"/>
      <c r="R34" s="1643"/>
      <c r="U34" s="551"/>
      <c r="AA34" s="1639"/>
      <c r="AB34" s="1639"/>
      <c r="AC34" s="1639"/>
      <c r="AD34" s="1639"/>
      <c r="AE34" s="1639"/>
      <c r="AF34" s="1167">
        <v>19</v>
      </c>
    </row>
    <row customHeight="1" ht="60">
      <c r="D35" s="1645"/>
      <c r="E35" s="1681" t="s">
        <v>755</v>
      </c>
      <c r="F35" s="961" t="s">
        <v>756</v>
      </c>
      <c r="G35" s="1661" t="s">
        <v>549</v>
      </c>
      <c r="H35" s="1682"/>
      <c r="I35" s="1682"/>
      <c r="J35" s="296" t="s">
        <v>757</v>
      </c>
      <c r="K35" s="550"/>
      <c r="AF35" s="1638">
        <v>57</v>
      </c>
    </row>
    <row customHeight="1" ht="19.95">
      <c r="B36" s="1373"/>
      <c r="D36" s="2082"/>
      <c r="E36" s="1681" t="s">
        <v>758</v>
      </c>
      <c r="F36" s="2086" t="s">
        <v>759</v>
      </c>
      <c r="G36" s="2081" t="s">
        <v>549</v>
      </c>
      <c r="H36" s="2087"/>
      <c r="I36" s="2087"/>
      <c r="J36" s="2088" t="s">
        <v>760</v>
      </c>
      <c r="K36" s="550"/>
      <c r="N36" s="1373"/>
      <c r="O36" s="1373"/>
      <c r="P36" s="1373"/>
      <c r="Q36" s="1373"/>
      <c r="S36" s="1373"/>
      <c r="T36" s="1373"/>
      <c r="V36" s="1373"/>
      <c r="W36" s="1373"/>
      <c r="X36" s="1373"/>
      <c r="Y36" s="1373"/>
      <c r="Z36" s="1373"/>
      <c r="AF36" s="1638">
        <v>19</v>
      </c>
    </row>
    <row customHeight="1" ht="19.95">
      <c r="B37" s="1373"/>
      <c r="D37" s="2082"/>
      <c r="E37" s="1681" t="s">
        <v>761</v>
      </c>
      <c r="F37" s="2086" t="s">
        <v>762</v>
      </c>
      <c r="G37" s="2081" t="s">
        <v>549</v>
      </c>
      <c r="H37" s="2087"/>
      <c r="I37" s="2087"/>
      <c r="J37" s="2088" t="s">
        <v>763</v>
      </c>
      <c r="K37" s="550"/>
      <c r="N37" s="1373"/>
      <c r="O37" s="1373"/>
      <c r="P37" s="1373"/>
      <c r="Q37" s="1373"/>
      <c r="S37" s="1373"/>
      <c r="T37" s="1373"/>
      <c r="V37" s="1373"/>
      <c r="W37" s="1373"/>
      <c r="X37" s="1373"/>
      <c r="Y37" s="1373"/>
      <c r="Z37" s="1373"/>
      <c r="AF37" s="1638">
        <v>19</v>
      </c>
    </row>
    <row s="1373" customFormat="1" customHeight="1" ht="24">
      <c r="A38" s="996" t="s">
        <v>587</v>
      </c>
      <c r="C38" s="1643"/>
      <c r="D38" s="1645"/>
      <c r="E38" s="1671" t="s">
        <v>90</v>
      </c>
      <c r="F38" s="714" t="s">
        <v>764</v>
      </c>
      <c r="G38" s="1650" t="s">
        <v>549</v>
      </c>
      <c r="H38" s="564"/>
      <c r="I38" s="564"/>
      <c r="J38" s="296" t="s">
        <v>765</v>
      </c>
      <c r="K38" s="550"/>
      <c r="L38" s="1643"/>
      <c r="M38" s="1643"/>
      <c r="R38" s="1643"/>
      <c r="U38" s="551"/>
      <c r="AA38" s="1639"/>
      <c r="AB38" s="1639"/>
      <c r="AC38" s="1639"/>
      <c r="AD38" s="1639"/>
      <c r="AE38" s="1639"/>
      <c r="AF38" s="1167">
        <v>23</v>
      </c>
    </row>
    <row s="1373" customFormat="1" customHeight="1" ht="35.699999999999996">
      <c r="A39" s="996"/>
      <c r="C39" s="1643"/>
      <c r="D39" s="1645"/>
      <c r="E39" s="1671" t="s">
        <v>323</v>
      </c>
      <c r="F39" s="961" t="s">
        <v>766</v>
      </c>
      <c r="G39" s="1661"/>
      <c r="H39" s="564"/>
      <c r="I39" s="564"/>
      <c r="J39" s="296"/>
      <c r="K39" s="550"/>
      <c r="L39" s="1643"/>
      <c r="M39" s="1643"/>
      <c r="R39" s="1643"/>
      <c r="U39" s="551"/>
      <c r="AA39" s="1639"/>
      <c r="AB39" s="1639"/>
      <c r="AC39" s="1639"/>
      <c r="AD39" s="1639"/>
      <c r="AE39" s="1639"/>
      <c r="AF39" s="1167">
        <v>34</v>
      </c>
    </row>
    <row s="1373" customFormat="1" customHeight="1" ht="19.95">
      <c r="A40" s="994"/>
      <c r="C40" s="1643"/>
      <c r="D40" s="582"/>
      <c r="E40" s="1671" t="s">
        <v>91</v>
      </c>
      <c r="F40" s="714" t="s">
        <v>767</v>
      </c>
      <c r="G40" s="1650" t="s">
        <v>549</v>
      </c>
      <c r="H40" s="564"/>
      <c r="I40" s="564"/>
      <c r="J40" s="296" t="s">
        <v>768</v>
      </c>
      <c r="K40" s="550"/>
      <c r="L40" s="1643"/>
      <c r="M40" s="1643"/>
      <c r="R40" s="1643"/>
      <c r="U40" s="551"/>
      <c r="AA40" s="1639"/>
      <c r="AB40" s="1639"/>
      <c r="AC40" s="1639"/>
      <c r="AD40" s="1639"/>
      <c r="AE40" s="1639"/>
      <c r="AF40" s="1167">
        <v>19</v>
      </c>
    </row>
    <row s="1373" customFormat="1" customHeight="1" ht="24">
      <c r="A41" s="994"/>
      <c r="C41" s="1643"/>
      <c r="D41" s="582"/>
      <c r="E41" s="1671" t="s">
        <v>769</v>
      </c>
      <c r="F41" s="961" t="s">
        <v>770</v>
      </c>
      <c r="G41" s="1661" t="s">
        <v>549</v>
      </c>
      <c r="H41" s="564"/>
      <c r="I41" s="564"/>
      <c r="J41" s="296" t="s">
        <v>771</v>
      </c>
      <c r="K41" s="550"/>
      <c r="L41" s="1643"/>
      <c r="M41" s="1643"/>
      <c r="R41" s="1643"/>
      <c r="U41" s="551"/>
      <c r="AA41" s="1639"/>
      <c r="AB41" s="1639"/>
      <c r="AC41" s="1639"/>
      <c r="AD41" s="1639"/>
      <c r="AE41" s="1639"/>
      <c r="AF41" s="1167">
        <v>23</v>
      </c>
    </row>
    <row s="1373" customFormat="1" customHeight="1" ht="24">
      <c r="A42" s="994"/>
      <c r="C42" s="1643"/>
      <c r="D42" s="1645"/>
      <c r="E42" s="1671" t="s">
        <v>772</v>
      </c>
      <c r="F42" s="1657" t="s">
        <v>773</v>
      </c>
      <c r="G42" s="1650" t="s">
        <v>549</v>
      </c>
      <c r="H42" s="564"/>
      <c r="I42" s="564"/>
      <c r="J42" s="296" t="s">
        <v>774</v>
      </c>
      <c r="K42" s="550"/>
      <c r="L42" s="1643"/>
      <c r="M42" s="1643"/>
      <c r="R42" s="1643"/>
      <c r="U42" s="551"/>
      <c r="AA42" s="1639"/>
      <c r="AB42" s="1639"/>
      <c r="AC42" s="1639"/>
      <c r="AD42" s="1639"/>
      <c r="AE42" s="1639"/>
      <c r="AF42" s="1167">
        <v>23</v>
      </c>
    </row>
    <row s="1373" customFormat="1" customHeight="1" ht="24">
      <c r="A43" s="994"/>
      <c r="C43" s="1643"/>
      <c r="D43" s="1645"/>
      <c r="E43" s="1671" t="s">
        <v>775</v>
      </c>
      <c r="F43" s="1657" t="s">
        <v>776</v>
      </c>
      <c r="G43" s="1650" t="s">
        <v>549</v>
      </c>
      <c r="H43" s="564"/>
      <c r="I43" s="564"/>
      <c r="J43" s="296" t="s">
        <v>777</v>
      </c>
      <c r="K43" s="550"/>
      <c r="L43" s="1643"/>
      <c r="M43" s="1643"/>
      <c r="R43" s="1643"/>
      <c r="U43" s="551"/>
      <c r="AA43" s="1639"/>
      <c r="AB43" s="1639"/>
      <c r="AC43" s="1639"/>
      <c r="AD43" s="1639"/>
      <c r="AE43" s="1639"/>
      <c r="AF43" s="1167">
        <v>23</v>
      </c>
    </row>
    <row s="1373" customFormat="1" customHeight="1" ht="24">
      <c r="A44" s="994"/>
      <c r="C44" s="1643"/>
      <c r="D44" s="1645"/>
      <c r="E44" s="1671" t="s">
        <v>778</v>
      </c>
      <c r="F44" s="1657" t="s">
        <v>779</v>
      </c>
      <c r="G44" s="1650" t="s">
        <v>549</v>
      </c>
      <c r="H44" s="564"/>
      <c r="I44" s="564"/>
      <c r="J44" s="296" t="s">
        <v>780</v>
      </c>
      <c r="K44" s="550"/>
      <c r="L44" s="1643"/>
      <c r="M44" s="1643"/>
      <c r="R44" s="1643"/>
      <c r="U44" s="551"/>
      <c r="AA44" s="1639"/>
      <c r="AB44" s="1639"/>
      <c r="AC44" s="1639"/>
      <c r="AD44" s="1639"/>
      <c r="AE44" s="1639"/>
      <c r="AF44" s="1167">
        <v>23</v>
      </c>
    </row>
    <row s="1373" customFormat="1" customHeight="1" ht="35.699999999999996">
      <c r="A45" s="994"/>
      <c r="C45" s="1643" t="s">
        <v>589</v>
      </c>
      <c r="D45" s="1645"/>
      <c r="E45" s="1671" t="s">
        <v>111</v>
      </c>
      <c r="F45" s="714" t="s">
        <v>639</v>
      </c>
      <c r="G45" s="1653" t="s">
        <v>781</v>
      </c>
      <c r="H45" s="408"/>
      <c r="I45" s="408"/>
      <c r="J45" s="296" t="s">
        <v>782</v>
      </c>
      <c r="K45" s="550"/>
      <c r="L45" s="1643"/>
      <c r="M45" s="1643"/>
      <c r="R45" s="1643"/>
      <c r="U45" s="551"/>
      <c r="AA45" s="1639"/>
      <c r="AB45" s="1639"/>
      <c r="AC45" s="1639"/>
      <c r="AD45" s="1639"/>
      <c r="AE45" s="1639"/>
      <c r="AF45" s="1167">
        <v>34</v>
      </c>
    </row>
    <row s="1373" customFormat="1" customHeight="1" ht="35.699999999999996">
      <c r="A46" s="994"/>
      <c r="C46" s="1643"/>
      <c r="D46" s="1645"/>
      <c r="E46" s="1671" t="s">
        <v>92</v>
      </c>
      <c r="F46" s="714" t="s">
        <v>783</v>
      </c>
      <c r="G46" s="1650" t="s">
        <v>784</v>
      </c>
      <c r="H46" s="552"/>
      <c r="I46" s="552"/>
      <c r="J46" s="296" t="s">
        <v>785</v>
      </c>
      <c r="K46" s="550"/>
      <c r="L46" s="1643"/>
      <c r="M46" s="1643"/>
      <c r="R46" s="1643"/>
      <c r="U46" s="551"/>
      <c r="AA46" s="1639"/>
      <c r="AB46" s="1639"/>
      <c r="AC46" s="1639"/>
      <c r="AD46" s="1639"/>
      <c r="AE46" s="1639"/>
      <c r="AF46" s="1167">
        <v>34</v>
      </c>
    </row>
    <row s="1373" customFormat="1" customHeight="1" ht="24">
      <c r="A47" s="994"/>
      <c r="C47" s="1643"/>
      <c r="D47" s="1645"/>
      <c r="E47" s="1671" t="s">
        <v>93</v>
      </c>
      <c r="F47" s="714" t="s">
        <v>786</v>
      </c>
      <c r="G47" s="1661" t="s">
        <v>787</v>
      </c>
      <c r="H47" s="552"/>
      <c r="I47" s="552"/>
      <c r="J47" s="296" t="s">
        <v>788</v>
      </c>
      <c r="K47" s="550"/>
      <c r="L47" s="1643"/>
      <c r="M47" s="1643"/>
      <c r="R47" s="1643"/>
      <c r="U47" s="551"/>
      <c r="AA47" s="1639"/>
      <c r="AB47" s="1639"/>
      <c r="AC47" s="1639"/>
      <c r="AD47" s="1639"/>
      <c r="AE47" s="1639"/>
      <c r="AF47" s="1167">
        <v>23</v>
      </c>
    </row>
    <row s="1373" customFormat="1" customHeight="1" ht="19.95">
      <c r="A48" s="994"/>
      <c r="C48" s="1643"/>
      <c r="D48" s="1645"/>
      <c r="E48" s="1671" t="s">
        <v>112</v>
      </c>
      <c r="F48" s="714" t="s">
        <v>789</v>
      </c>
      <c r="G48" s="1650" t="s">
        <v>600</v>
      </c>
      <c r="H48" s="584"/>
      <c r="I48" s="584"/>
      <c r="J48" s="296"/>
      <c r="K48" s="550"/>
      <c r="L48" s="1643"/>
      <c r="M48" s="1643"/>
      <c r="R48" s="1643"/>
      <c r="U48" s="551"/>
      <c r="AA48" s="1639"/>
      <c r="AB48" s="1639"/>
      <c r="AC48" s="1639"/>
      <c r="AD48" s="1639"/>
      <c r="AE48" s="1639"/>
      <c r="AF48" s="1167">
        <v>19</v>
      </c>
    </row>
    <row customHeight="1" ht="11.549999999999999">
      <c r="D49" s="1645"/>
      <c r="AF49" s="163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H52" s="573"/>
      <c r="I52" s="573"/>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customHeight="1" ht="11.549999999999999">
      <c r="AF205" s="1638">
        <v>11</v>
      </c>
    </row>
    <row customHeight="1" ht="11.549999999999999">
      <c r="AF206" s="1638">
        <v>11</v>
      </c>
    </row>
    <row customHeight="1" ht="11.549999999999999">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549999999999999">
      <c r="A217" s="997"/>
      <c r="B217" s="1638"/>
      <c r="D217" s="1638"/>
      <c r="K217" s="1638"/>
      <c r="N217" s="1638"/>
      <c r="O217" s="1638"/>
      <c r="P217" s="1638"/>
      <c r="Q217" s="1638"/>
      <c r="S217" s="1638"/>
      <c r="T217" s="1638"/>
      <c r="U217" s="1638"/>
      <c r="V217" s="1638"/>
      <c r="W217" s="1638"/>
      <c r="X217" s="1638"/>
      <c r="Y217" s="1638"/>
      <c r="Z217" s="1638"/>
      <c r="AA217" s="1638"/>
      <c r="AB217" s="1638"/>
      <c r="AC217" s="1638"/>
      <c r="AD217" s="1638"/>
      <c r="AE217" s="1638"/>
      <c r="AF217" s="1638">
        <v>11</v>
      </c>
    </row>
    <row customHeight="1" ht="11.549999999999999">
      <c r="A218" s="997"/>
      <c r="B218" s="1638"/>
      <c r="D218" s="1638"/>
      <c r="K218" s="1638"/>
      <c r="N218" s="1638"/>
      <c r="O218" s="1638"/>
      <c r="P218" s="1638"/>
      <c r="Q218" s="1638"/>
      <c r="S218" s="1638"/>
      <c r="T218" s="1638"/>
      <c r="U218" s="1638"/>
      <c r="V218" s="1638"/>
      <c r="W218" s="1638"/>
      <c r="X218" s="1638"/>
      <c r="Y218" s="1638"/>
      <c r="Z218" s="1638"/>
      <c r="AA218" s="1638"/>
      <c r="AB218" s="1638"/>
      <c r="AC218" s="1638"/>
      <c r="AD218" s="1638"/>
      <c r="AE218" s="1638"/>
      <c r="AF218" s="1638">
        <v>11</v>
      </c>
    </row>
    <row customHeight="1" ht="11.25" hidden="1">
      <c r="A219" s="994" t="s">
        <v>82</v>
      </c>
      <c r="B219" s="1167">
        <v>0</v>
      </c>
      <c r="C219" s="1643">
        <v>0</v>
      </c>
      <c r="D219" s="1642">
        <v>3</v>
      </c>
      <c r="E219" s="1638">
        <v>7</v>
      </c>
      <c r="F219" s="1638">
        <v>56</v>
      </c>
      <c r="G219" s="1638">
        <v>10</v>
      </c>
      <c r="H219" s="1638">
        <v>0</v>
      </c>
      <c r="I219" s="1638">
        <v>40</v>
      </c>
      <c r="J219" s="1638">
        <v>102</v>
      </c>
      <c r="K219" s="1167">
        <v>9</v>
      </c>
      <c r="L219" s="1643">
        <v>5</v>
      </c>
      <c r="M219" s="1643">
        <v>3</v>
      </c>
      <c r="N219" s="1167">
        <v>3</v>
      </c>
      <c r="O219" s="1167">
        <v>3</v>
      </c>
      <c r="P219" s="1167">
        <v>3</v>
      </c>
      <c r="Q219" s="1167">
        <v>3</v>
      </c>
      <c r="R219" s="1643">
        <v>10</v>
      </c>
      <c r="S219" s="1167">
        <v>34</v>
      </c>
      <c r="T219" s="1167">
        <v>9</v>
      </c>
      <c r="U219" s="551">
        <v>8</v>
      </c>
      <c r="V219" s="1167">
        <v>8</v>
      </c>
      <c r="W219" s="1167">
        <v>8</v>
      </c>
      <c r="X219" s="1167">
        <v>8</v>
      </c>
      <c r="Y219" s="1167">
        <v>8</v>
      </c>
      <c r="Z219" s="1167">
        <v>8</v>
      </c>
      <c r="AA219" s="1639">
        <v>8</v>
      </c>
      <c r="AB219" s="1639">
        <v>8</v>
      </c>
      <c r="AC219" s="1639">
        <v>8</v>
      </c>
      <c r="AD219" s="1639">
        <v>8</v>
      </c>
      <c r="AE219" s="1639">
        <v>8</v>
      </c>
      <c r="AF219"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60E7F-49AF-63DA-20F7-C882AC39F783}"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549</v>
      </c>
      <c r="H2" s="548"/>
      <c r="I2" s="548"/>
      <c r="J2" s="549" t="s">
        <v>552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74" t="s">
        <v>790</v>
      </c>
      <c r="F6" s="2274"/>
      <c r="G6" s="2274"/>
      <c r="H6" s="2274"/>
      <c r="I6" s="2274"/>
      <c r="J6" s="563"/>
      <c r="AF6" s="1638">
        <v>32</v>
      </c>
    </row>
    <row customHeight="1" ht="25.2">
      <c r="E7" s="2275" t="str">
        <f>IF(org=0,"Не определено",org)</f>
        <v>Общество с ограниченной ответственностью "Сигнал", г. Серов</v>
      </c>
      <c r="F7" s="2275"/>
      <c r="G7" s="2275"/>
      <c r="H7" s="2275"/>
      <c r="I7" s="2275"/>
      <c r="AF7" s="1638">
        <v>24</v>
      </c>
    </row>
    <row customHeight="1" ht="11.549999999999999">
      <c r="E8" s="1142"/>
      <c r="F8" s="1142"/>
      <c r="G8" s="1142"/>
      <c r="H8" s="1142"/>
      <c r="I8" s="1142"/>
      <c r="AF8" s="1638">
        <v>11</v>
      </c>
    </row>
    <row s="1649" customFormat="1" customHeight="1" ht="1.05">
      <c r="A9" s="1174"/>
      <c r="D9" s="1649"/>
      <c r="H9" s="896"/>
      <c r="I9" s="896" t="s">
        <v>117</v>
      </c>
      <c r="AF9" s="1643">
        <v>1</v>
      </c>
    </row>
    <row customHeight="1" ht="11.549999999999999">
      <c r="E10" s="718"/>
      <c r="F10" s="2393" t="s">
        <v>105</v>
      </c>
      <c r="G10" s="2394"/>
      <c r="H10" s="1666" t="str">
        <f>IF(H9="","",INDEX(DIFFERENTIATION_UNMERGE_VD,MATCH(H9,DIFFERENTIATION_ID_DIFF,0)))</f>
        <v/>
      </c>
      <c r="I10" s="1666" t="str">
        <f>IF(I9="","",INDEX(DIFFERENTIATION_UNMERGE_VD,MATCH(I9,DIFFERENTIATION_ID_DIFF,0)))</f>
        <v>Водоотведение</v>
      </c>
      <c r="J10" s="2153" t="s">
        <v>300</v>
      </c>
      <c r="AF10" s="1638">
        <v>11</v>
      </c>
    </row>
    <row customHeight="1" ht="11.549999999999999">
      <c r="E11" s="718"/>
      <c r="F11" s="2393" t="s">
        <v>561</v>
      </c>
      <c r="G11" s="2394"/>
      <c r="H11" s="1666" t="str">
        <f>IF(H9="","",INDEX(DIFFERENTIATION_UNMERGE_AREA,MATCH(H9,DIFFERENTIATION_ID_DIFF,0)))</f>
        <v/>
      </c>
      <c r="I11" s="1666" t="str">
        <f>IF(I9="","",INDEX(DIFFERENTIATION_UNMERGE_AREA,MATCH(I9,DIFFERENTIATION_ID_DIFF,0)))</f>
        <v>Территория 1</v>
      </c>
      <c r="J11" s="2153"/>
      <c r="AF11" s="1638">
        <v>11</v>
      </c>
    </row>
    <row customHeight="1" ht="11.25" hidden="1">
      <c r="E12" s="1669"/>
      <c r="F12" s="2416" t="s">
        <v>562</v>
      </c>
      <c r="G12" s="2417"/>
      <c r="H12" s="1670" t="str">
        <f>IF(H9="","",INDEX(DIFFERENTIATION_UNMERGE_SYSTEM,MATCH(H9,DIFFERENTIATION_ID_DIFF,0)))</f>
        <v/>
      </c>
      <c r="I12" s="1670" t="str">
        <f>IF(I9="","",INDEX(DIFFERENTIATION_UNMERGE_SYSTEM,MATCH(I9,DIFFERENTIATION_ID_DIFF,0)))</f>
        <v>без дифференциации</v>
      </c>
      <c r="J12" s="2153"/>
      <c r="AF12" s="1638">
        <v>0</v>
      </c>
    </row>
    <row customHeight="1" ht="11.549999999999999">
      <c r="E13" s="2395" t="s">
        <v>299</v>
      </c>
      <c r="F13" s="2396"/>
      <c r="G13" s="2396"/>
      <c r="H13" s="1663"/>
      <c r="I13" s="1663"/>
      <c r="J13" s="2153"/>
      <c r="AF13" s="1638">
        <v>11</v>
      </c>
    </row>
    <row customHeight="1" ht="24">
      <c r="E14" s="1664" t="s">
        <v>88</v>
      </c>
      <c r="F14" s="1667" t="s">
        <v>301</v>
      </c>
      <c r="G14" s="1667" t="s">
        <v>563</v>
      </c>
      <c r="H14" s="1667" t="s">
        <v>302</v>
      </c>
      <c r="I14" s="1667" t="s">
        <v>302</v>
      </c>
      <c r="J14" s="2153"/>
      <c r="AF14" s="1638">
        <v>23</v>
      </c>
    </row>
    <row customHeight="1" ht="19.95">
      <c r="D15" s="1645"/>
      <c r="E15" s="1637" t="s">
        <v>109</v>
      </c>
      <c r="F15" s="714" t="s">
        <v>791</v>
      </c>
      <c r="G15" s="1664" t="s">
        <v>549</v>
      </c>
      <c r="H15" s="564"/>
      <c r="I15" s="564"/>
      <c r="J15" s="296" t="s">
        <v>792</v>
      </c>
      <c r="K15" s="550" t="s">
        <v>640</v>
      </c>
      <c r="AF15" s="1638">
        <v>19</v>
      </c>
    </row>
    <row customHeight="1" ht="24">
      <c r="D16" s="1645"/>
      <c r="E16" s="1637" t="s">
        <v>110</v>
      </c>
      <c r="F16" s="2091" t="s">
        <v>793</v>
      </c>
      <c r="G16" s="1664" t="s">
        <v>549</v>
      </c>
      <c r="H16" s="565">
        <f>SUM(H17,H20:H27)</f>
        <v>0</v>
      </c>
      <c r="I16" s="565">
        <f>SUM(I17,I20:I27)</f>
        <v>0</v>
      </c>
      <c r="J16" s="2088" t="s">
        <v>794</v>
      </c>
      <c r="K16" s="550" t="s">
        <v>640</v>
      </c>
      <c r="AF16" s="1638">
        <v>23</v>
      </c>
    </row>
    <row customHeight="1" ht="35.699999999999996">
      <c r="D17" s="1645"/>
      <c r="E17" s="1671" t="s">
        <v>718</v>
      </c>
      <c r="F17" s="1673" t="s">
        <v>795</v>
      </c>
      <c r="G17" s="1661" t="s">
        <v>549</v>
      </c>
      <c r="H17" s="564"/>
      <c r="I17" s="564"/>
      <c r="J17" s="296" t="s">
        <v>796</v>
      </c>
      <c r="K17" s="550"/>
      <c r="AF17" s="1638">
        <v>34</v>
      </c>
    </row>
    <row customHeight="1" ht="19.95">
      <c r="D18" s="1645"/>
      <c r="E18" s="1671" t="s">
        <v>721</v>
      </c>
      <c r="F18" s="1674" t="s">
        <v>797</v>
      </c>
      <c r="G18" s="1661" t="s">
        <v>549</v>
      </c>
      <c r="H18" s="564"/>
      <c r="I18" s="564"/>
      <c r="J18" s="296"/>
      <c r="K18" s="550"/>
      <c r="AF18" s="1638">
        <v>19</v>
      </c>
    </row>
    <row customHeight="1" ht="24">
      <c r="D19" s="1645"/>
      <c r="E19" s="1671" t="s">
        <v>724</v>
      </c>
      <c r="F19" s="1674" t="s">
        <v>798</v>
      </c>
      <c r="G19" s="1661" t="s">
        <v>549</v>
      </c>
      <c r="H19" s="564"/>
      <c r="I19" s="564"/>
      <c r="J19" s="296"/>
      <c r="K19" s="550"/>
      <c r="AF19" s="1638">
        <v>23</v>
      </c>
    </row>
    <row customHeight="1" ht="35.699999999999996">
      <c r="D20" s="1645"/>
      <c r="E20" s="1671" t="s">
        <v>306</v>
      </c>
      <c r="F20" s="1673" t="s">
        <v>799</v>
      </c>
      <c r="G20" s="1661" t="s">
        <v>549</v>
      </c>
      <c r="H20" s="564"/>
      <c r="I20" s="564"/>
      <c r="J20" s="296"/>
      <c r="K20" s="550"/>
      <c r="AF20" s="1638">
        <v>34</v>
      </c>
    </row>
    <row customHeight="1" ht="48.29999999999999">
      <c r="D21" s="1645"/>
      <c r="E21" s="1671" t="s">
        <v>309</v>
      </c>
      <c r="F21" s="1673" t="s">
        <v>800</v>
      </c>
      <c r="G21" s="1661" t="s">
        <v>549</v>
      </c>
      <c r="H21" s="564"/>
      <c r="I21" s="564"/>
      <c r="J21" s="296"/>
      <c r="K21" s="550"/>
      <c r="AF21" s="1638">
        <v>46</v>
      </c>
    </row>
    <row customHeight="1" ht="60">
      <c r="D22" s="1645"/>
      <c r="E22" s="1671" t="s">
        <v>738</v>
      </c>
      <c r="F22" s="1673" t="s">
        <v>801</v>
      </c>
      <c r="G22" s="1661" t="s">
        <v>549</v>
      </c>
      <c r="H22" s="564"/>
      <c r="I22" s="564"/>
      <c r="J22" s="296"/>
      <c r="K22" s="550"/>
      <c r="AF22" s="1638">
        <v>57</v>
      </c>
    </row>
    <row customHeight="1" ht="35.699999999999996">
      <c r="D23" s="1645"/>
      <c r="E23" s="1671" t="s">
        <v>745</v>
      </c>
      <c r="F23" s="1673" t="s">
        <v>802</v>
      </c>
      <c r="G23" s="1661" t="s">
        <v>549</v>
      </c>
      <c r="H23" s="564"/>
      <c r="I23" s="564"/>
      <c r="J23" s="296"/>
      <c r="K23" s="550"/>
      <c r="AF23" s="1638">
        <v>34</v>
      </c>
    </row>
    <row customHeight="1" ht="35.699999999999996">
      <c r="D24" s="1645"/>
      <c r="E24" s="1671" t="s">
        <v>747</v>
      </c>
      <c r="F24" s="1673" t="s">
        <v>803</v>
      </c>
      <c r="G24" s="1661" t="s">
        <v>549</v>
      </c>
      <c r="H24" s="564"/>
      <c r="I24" s="564"/>
      <c r="J24" s="296"/>
      <c r="K24" s="550"/>
      <c r="AF24" s="1638">
        <v>34</v>
      </c>
    </row>
    <row customHeight="1" ht="24">
      <c r="D25" s="1645"/>
      <c r="E25" s="1671" t="s">
        <v>749</v>
      </c>
      <c r="F25" s="1673" t="s">
        <v>804</v>
      </c>
      <c r="G25" s="1661" t="s">
        <v>549</v>
      </c>
      <c r="H25" s="564"/>
      <c r="I25" s="564"/>
      <c r="J25" s="296"/>
      <c r="K25" s="550"/>
      <c r="AF25" s="1638">
        <v>23</v>
      </c>
    </row>
    <row customHeight="1" ht="76.5">
      <c r="D26" s="1645"/>
      <c r="E26" s="1671" t="s">
        <v>751</v>
      </c>
      <c r="F26" s="1673" t="s">
        <v>805</v>
      </c>
      <c r="G26" s="1661" t="s">
        <v>549</v>
      </c>
      <c r="H26" s="564"/>
      <c r="I26" s="564"/>
      <c r="J26" s="296"/>
      <c r="K26" s="550"/>
      <c r="AF26" s="1638">
        <v>73</v>
      </c>
    </row>
    <row s="1373" customFormat="1" customHeight="1" ht="35.699999999999996">
      <c r="A27" s="994"/>
      <c r="C27" s="1643"/>
      <c r="D27" s="1645"/>
      <c r="E27" s="1636" t="s">
        <v>755</v>
      </c>
      <c r="F27" s="1635" t="s">
        <v>806</v>
      </c>
      <c r="G27" s="1662" t="s">
        <v>549</v>
      </c>
      <c r="H27" s="586">
        <f>SUM(H28:H29)</f>
        <v>0</v>
      </c>
      <c r="I27" s="586">
        <f>SUM(I28:I29)</f>
        <v>0</v>
      </c>
      <c r="J27" s="296" t="s">
        <v>753</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2" t="s">
        <v>586</v>
      </c>
      <c r="G29" s="579"/>
      <c r="H29" s="580"/>
      <c r="I29" s="580"/>
      <c r="J29" s="308" t="s">
        <v>754</v>
      </c>
      <c r="K29" s="550"/>
      <c r="L29" s="1643"/>
      <c r="M29" s="1643"/>
      <c r="R29" s="1643"/>
      <c r="U29" s="551"/>
      <c r="AA29" s="1639"/>
      <c r="AB29" s="1639"/>
      <c r="AC29" s="1639"/>
      <c r="AD29" s="1639"/>
      <c r="AE29" s="1639"/>
      <c r="AF29" s="1167">
        <v>19</v>
      </c>
    </row>
    <row customHeight="1" ht="76.5">
      <c r="B30" s="1373"/>
      <c r="D30" s="2082"/>
      <c r="E30" s="1671" t="s">
        <v>807</v>
      </c>
      <c r="F30" s="2090" t="s">
        <v>762</v>
      </c>
      <c r="G30" s="2081" t="s">
        <v>549</v>
      </c>
      <c r="H30" s="564"/>
      <c r="I30" s="564"/>
      <c r="J30" s="2088" t="s">
        <v>808</v>
      </c>
      <c r="K30" s="550"/>
      <c r="N30" s="1373"/>
      <c r="O30" s="1373"/>
      <c r="P30" s="1373"/>
      <c r="Q30" s="1373"/>
      <c r="S30" s="1373"/>
      <c r="T30" s="1373"/>
      <c r="V30" s="1373"/>
      <c r="W30" s="1373"/>
      <c r="X30" s="1373"/>
      <c r="Y30" s="1373"/>
      <c r="Z30" s="1373"/>
      <c r="AF30" s="1638">
        <v>73</v>
      </c>
    </row>
    <row s="1373" customFormat="1" customHeight="1" ht="24">
      <c r="A31" s="994"/>
      <c r="C31" s="1643"/>
      <c r="D31" s="1645"/>
      <c r="E31" s="1671" t="s">
        <v>90</v>
      </c>
      <c r="F31" s="1668" t="s">
        <v>809</v>
      </c>
      <c r="G31" s="1661" t="s">
        <v>549</v>
      </c>
      <c r="H31" s="564"/>
      <c r="I31" s="564"/>
      <c r="J31" s="296"/>
      <c r="K31" s="550"/>
      <c r="L31" s="1643"/>
      <c r="M31" s="1643"/>
      <c r="R31" s="1643"/>
      <c r="U31" s="551"/>
      <c r="AA31" s="1639"/>
      <c r="AB31" s="1639"/>
      <c r="AC31" s="1639"/>
      <c r="AD31" s="1639"/>
      <c r="AE31" s="1639"/>
      <c r="AF31" s="1167">
        <v>23</v>
      </c>
    </row>
    <row s="1373" customFormat="1" customHeight="1" ht="35.699999999999996">
      <c r="A32" s="994"/>
      <c r="C32" s="1643"/>
      <c r="D32" s="582"/>
      <c r="E32" s="1671" t="s">
        <v>91</v>
      </c>
      <c r="F32" s="1668" t="s">
        <v>810</v>
      </c>
      <c r="G32" s="1661" t="s">
        <v>549</v>
      </c>
      <c r="H32" s="564"/>
      <c r="I32" s="564"/>
      <c r="J32" s="296" t="s">
        <v>811</v>
      </c>
      <c r="K32" s="550"/>
      <c r="L32" s="1643"/>
      <c r="M32" s="1643"/>
      <c r="R32" s="1643"/>
      <c r="U32" s="551"/>
      <c r="AA32" s="1639"/>
      <c r="AB32" s="1639"/>
      <c r="AC32" s="1639"/>
      <c r="AD32" s="1639"/>
      <c r="AE32" s="1639"/>
      <c r="AF32" s="1167">
        <v>34</v>
      </c>
    </row>
    <row s="1373" customFormat="1" customHeight="1" ht="24">
      <c r="A33" s="994"/>
      <c r="C33" s="1643"/>
      <c r="D33" s="1645"/>
      <c r="E33" s="1671" t="s">
        <v>769</v>
      </c>
      <c r="F33" s="697" t="s">
        <v>773</v>
      </c>
      <c r="G33" s="1661" t="s">
        <v>549</v>
      </c>
      <c r="H33" s="564"/>
      <c r="I33" s="564"/>
      <c r="J33" s="296" t="s">
        <v>812</v>
      </c>
      <c r="K33" s="550"/>
      <c r="L33" s="1643"/>
      <c r="M33" s="1643"/>
      <c r="R33" s="1643"/>
      <c r="U33" s="551"/>
      <c r="AA33" s="1639"/>
      <c r="AB33" s="1639"/>
      <c r="AC33" s="1639"/>
      <c r="AD33" s="1639"/>
      <c r="AE33" s="1639"/>
      <c r="AF33" s="1167">
        <v>23</v>
      </c>
    </row>
    <row s="1373" customFormat="1" customHeight="1" ht="24">
      <c r="A34" s="994"/>
      <c r="C34" s="1643"/>
      <c r="D34" s="1645"/>
      <c r="E34" s="1671" t="s">
        <v>813</v>
      </c>
      <c r="F34" s="697" t="s">
        <v>814</v>
      </c>
      <c r="G34" s="1661" t="s">
        <v>549</v>
      </c>
      <c r="H34" s="564"/>
      <c r="I34" s="564"/>
      <c r="J34" s="296" t="s">
        <v>815</v>
      </c>
      <c r="K34" s="550"/>
      <c r="L34" s="1643"/>
      <c r="M34" s="1643"/>
      <c r="R34" s="1643"/>
      <c r="U34" s="551"/>
      <c r="AA34" s="1639"/>
      <c r="AB34" s="1639"/>
      <c r="AC34" s="1639"/>
      <c r="AD34" s="1639"/>
      <c r="AE34" s="1639"/>
      <c r="AF34" s="1167">
        <v>23</v>
      </c>
    </row>
    <row s="1373" customFormat="1" customHeight="1" ht="24">
      <c r="A35" s="994"/>
      <c r="C35" s="1643"/>
      <c r="D35" s="1645"/>
      <c r="E35" s="1671" t="s">
        <v>816</v>
      </c>
      <c r="F35" s="697" t="s">
        <v>779</v>
      </c>
      <c r="G35" s="1661" t="s">
        <v>549</v>
      </c>
      <c r="H35" s="564"/>
      <c r="I35" s="564"/>
      <c r="J35" s="296" t="s">
        <v>817</v>
      </c>
      <c r="K35" s="550"/>
      <c r="L35" s="1643"/>
      <c r="M35" s="1643"/>
      <c r="R35" s="1643"/>
      <c r="U35" s="551"/>
      <c r="AA35" s="1639"/>
      <c r="AB35" s="1639"/>
      <c r="AC35" s="1639"/>
      <c r="AD35" s="1639"/>
      <c r="AE35" s="1639"/>
      <c r="AF35" s="1167">
        <v>23</v>
      </c>
    </row>
    <row s="1373" customFormat="1" customHeight="1" ht="35.699999999999996">
      <c r="A36" s="994"/>
      <c r="C36" s="1643" t="s">
        <v>589</v>
      </c>
      <c r="D36" s="1645"/>
      <c r="E36" s="1671" t="s">
        <v>111</v>
      </c>
      <c r="F36" s="1668" t="s">
        <v>639</v>
      </c>
      <c r="G36" s="1664" t="s">
        <v>305</v>
      </c>
      <c r="H36" s="408"/>
      <c r="I36" s="408"/>
      <c r="J36" s="296" t="s">
        <v>818</v>
      </c>
      <c r="K36" s="550"/>
      <c r="L36" s="1643"/>
      <c r="M36" s="1643"/>
      <c r="R36" s="1643"/>
      <c r="U36" s="551"/>
      <c r="AA36" s="1639"/>
      <c r="AB36" s="1639"/>
      <c r="AC36" s="1639"/>
      <c r="AD36" s="1639"/>
      <c r="AE36" s="1639"/>
      <c r="AF36" s="1167">
        <v>34</v>
      </c>
    </row>
    <row s="1373" customFormat="1" customHeight="1" ht="35.699999999999996">
      <c r="A37" s="994"/>
      <c r="C37" s="1643"/>
      <c r="D37" s="1645"/>
      <c r="E37" s="1671" t="s">
        <v>92</v>
      </c>
      <c r="F37" s="1668" t="s">
        <v>819</v>
      </c>
      <c r="G37" s="1661" t="s">
        <v>784</v>
      </c>
      <c r="H37" s="2089"/>
      <c r="I37" s="2089"/>
      <c r="J37" s="296" t="s">
        <v>785</v>
      </c>
      <c r="K37" s="550"/>
      <c r="L37" s="1643"/>
      <c r="M37" s="1643"/>
      <c r="R37" s="1643"/>
      <c r="U37" s="551"/>
      <c r="AA37" s="1639"/>
      <c r="AB37" s="1639"/>
      <c r="AC37" s="1639"/>
      <c r="AD37" s="1639"/>
      <c r="AE37" s="1639"/>
      <c r="AF37" s="1167">
        <v>34</v>
      </c>
    </row>
    <row s="1373" customFormat="1" customHeight="1" ht="33.75">
      <c r="A38" s="994"/>
      <c r="C38" s="1643"/>
      <c r="D38" s="2082"/>
      <c r="E38" s="1671" t="s">
        <v>662</v>
      </c>
      <c r="F38" s="2090" t="s">
        <v>820</v>
      </c>
      <c r="G38" s="2081" t="s">
        <v>784</v>
      </c>
      <c r="H38" s="552"/>
      <c r="I38" s="552"/>
      <c r="J38" s="2088" t="s">
        <v>821</v>
      </c>
      <c r="K38" s="550"/>
      <c r="L38" s="1643"/>
      <c r="M38" s="1643"/>
      <c r="R38" s="1643"/>
      <c r="U38" s="551"/>
      <c r="AA38" s="1639"/>
      <c r="AB38" s="1639"/>
      <c r="AC38" s="1639"/>
      <c r="AD38" s="1639"/>
      <c r="AE38" s="1639"/>
    </row>
    <row s="1373" customFormat="1" customHeight="1" ht="33.75">
      <c r="A39" s="994"/>
      <c r="C39" s="1643"/>
      <c r="D39" s="2082"/>
      <c r="E39" s="1671" t="s">
        <v>666</v>
      </c>
      <c r="F39" s="2090" t="s">
        <v>822</v>
      </c>
      <c r="G39" s="2081" t="s">
        <v>784</v>
      </c>
      <c r="H39" s="552"/>
      <c r="I39" s="552"/>
      <c r="J39" s="2088" t="s">
        <v>823</v>
      </c>
      <c r="K39" s="550"/>
      <c r="L39" s="1643"/>
      <c r="M39" s="1643"/>
      <c r="R39" s="1643"/>
      <c r="U39" s="551"/>
      <c r="AA39" s="1639"/>
      <c r="AB39" s="1639"/>
      <c r="AC39" s="1639"/>
      <c r="AD39" s="1639"/>
      <c r="AE39" s="1639"/>
    </row>
    <row s="1373" customFormat="1" customHeight="1" ht="24">
      <c r="A40" s="994"/>
      <c r="C40" s="1643"/>
      <c r="D40" s="1645"/>
      <c r="E40" s="1671" t="s">
        <v>93</v>
      </c>
      <c r="F40" s="1668" t="s">
        <v>824</v>
      </c>
      <c r="G40" s="1661" t="s">
        <v>787</v>
      </c>
      <c r="H40" s="2089"/>
      <c r="I40" s="2089"/>
      <c r="J40" s="296" t="s">
        <v>788</v>
      </c>
      <c r="K40" s="550"/>
      <c r="L40" s="1643"/>
      <c r="M40" s="1643"/>
      <c r="R40" s="1643"/>
      <c r="U40" s="551"/>
      <c r="AA40" s="1639"/>
      <c r="AB40" s="1639"/>
      <c r="AC40" s="1639"/>
      <c r="AD40" s="1639"/>
      <c r="AE40" s="1639"/>
      <c r="AF40" s="1167">
        <v>23</v>
      </c>
    </row>
    <row s="1373" customFormat="1" customHeight="1" ht="24">
      <c r="A41" s="994"/>
      <c r="C41" s="1643"/>
      <c r="D41" s="2082"/>
      <c r="E41" s="1671" t="s">
        <v>825</v>
      </c>
      <c r="F41" s="2090" t="s">
        <v>826</v>
      </c>
      <c r="G41" s="2081" t="s">
        <v>787</v>
      </c>
      <c r="H41" s="552"/>
      <c r="I41" s="552"/>
      <c r="J41" s="2088" t="s">
        <v>827</v>
      </c>
      <c r="K41" s="550"/>
      <c r="L41" s="1643"/>
      <c r="M41" s="1643"/>
      <c r="R41" s="1643"/>
      <c r="U41" s="551"/>
      <c r="AA41" s="1639"/>
      <c r="AB41" s="1639"/>
      <c r="AC41" s="1639"/>
      <c r="AD41" s="1639"/>
      <c r="AE41" s="1639"/>
      <c r="AF41" s="1373">
        <v>23</v>
      </c>
    </row>
    <row s="1373" customFormat="1" customHeight="1" ht="24">
      <c r="A42" s="994"/>
      <c r="C42" s="1643"/>
      <c r="D42" s="2082"/>
      <c r="E42" s="1671" t="s">
        <v>828</v>
      </c>
      <c r="F42" s="2090" t="s">
        <v>829</v>
      </c>
      <c r="G42" s="2081" t="s">
        <v>787</v>
      </c>
      <c r="H42" s="552"/>
      <c r="I42" s="552"/>
      <c r="J42" s="2088" t="s">
        <v>830</v>
      </c>
      <c r="K42" s="550"/>
      <c r="L42" s="1643"/>
      <c r="M42" s="1643"/>
      <c r="R42" s="1643"/>
      <c r="U42" s="551"/>
      <c r="AA42" s="1639"/>
      <c r="AB42" s="1639"/>
      <c r="AC42" s="1639"/>
      <c r="AD42" s="1639"/>
      <c r="AE42" s="1639"/>
      <c r="AF42" s="1373">
        <v>23</v>
      </c>
    </row>
    <row customHeight="1" ht="11.549999999999999">
      <c r="D43" s="1645"/>
      <c r="AF43" s="1638">
        <v>11</v>
      </c>
    </row>
    <row customHeight="1" ht="27.299999999999997">
      <c r="D44" s="1645"/>
      <c r="E44" s="1260" t="s">
        <v>831</v>
      </c>
      <c r="F44" s="2311" t="s">
        <v>832</v>
      </c>
      <c r="G44" s="2311"/>
      <c r="H44" s="376"/>
      <c r="I44" s="376"/>
      <c r="J44" s="376"/>
      <c r="AF44" s="1638">
        <v>26</v>
      </c>
    </row>
    <row s="1648" customFormat="1" customHeight="1" ht="39.75">
      <c r="A45" s="994"/>
      <c r="B45" s="1643"/>
      <c r="C45" s="1643"/>
      <c r="D45" s="358"/>
      <c r="F45" s="2311" t="s">
        <v>833</v>
      </c>
      <c r="G45" s="2311"/>
      <c r="H45" s="376"/>
      <c r="I45" s="376"/>
      <c r="J45" s="376"/>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38</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H48" s="573"/>
      <c r="I48" s="573"/>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customHeight="1" ht="11.549999999999999">
      <c r="AF201" s="1638">
        <v>11</v>
      </c>
    </row>
    <row customHeight="1" ht="11.549999999999999">
      <c r="AF202" s="1638">
        <v>11</v>
      </c>
    </row>
    <row customHeight="1" ht="11.549999999999999">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hidden="1">
      <c r="A215" s="994" t="s">
        <v>82</v>
      </c>
      <c r="B215" s="1167">
        <v>0</v>
      </c>
      <c r="C215" s="1643">
        <v>0</v>
      </c>
      <c r="D215" s="1642">
        <v>3</v>
      </c>
      <c r="E215" s="1638">
        <v>7</v>
      </c>
      <c r="F215" s="1638">
        <v>54</v>
      </c>
      <c r="G215" s="1638">
        <v>10</v>
      </c>
      <c r="H215" s="1638">
        <v>0</v>
      </c>
      <c r="I215" s="1638">
        <v>40</v>
      </c>
      <c r="J215" s="1638">
        <v>102</v>
      </c>
      <c r="K215" s="1167">
        <v>9</v>
      </c>
      <c r="L215" s="1643">
        <v>5</v>
      </c>
      <c r="M215" s="1643">
        <v>3</v>
      </c>
      <c r="N215" s="1167">
        <v>3</v>
      </c>
      <c r="O215" s="1167">
        <v>3</v>
      </c>
      <c r="P215" s="1167">
        <v>3</v>
      </c>
      <c r="Q215" s="1167">
        <v>3</v>
      </c>
      <c r="R215" s="1643">
        <v>10</v>
      </c>
      <c r="S215" s="1167">
        <v>34</v>
      </c>
      <c r="T215" s="1167">
        <v>9</v>
      </c>
      <c r="U215" s="551">
        <v>8</v>
      </c>
      <c r="V215" s="1167">
        <v>8</v>
      </c>
      <c r="W215" s="1167">
        <v>8</v>
      </c>
      <c r="X215" s="1167">
        <v>8</v>
      </c>
      <c r="Y215" s="1167">
        <v>8</v>
      </c>
      <c r="Z215" s="1167">
        <v>8</v>
      </c>
      <c r="AA215" s="1639">
        <v>8</v>
      </c>
      <c r="AB215" s="1639">
        <v>8</v>
      </c>
      <c r="AC215" s="1639">
        <v>8</v>
      </c>
      <c r="AD215" s="1639">
        <v>8</v>
      </c>
      <c r="AE215" s="1639">
        <v>8</v>
      </c>
      <c r="AF215" s="1638">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5AD1C-BA5F-8BD6-FAC2-B7F4FEB6DE02}" mc:Ignorable="x14ac xr xr2 xr3">
  <sheetPr>
    <tabColor theme="9" tint="-0.25"/>
  </sheetPr>
  <dimension ref="A1:X102"/>
  <sheetViews>
    <sheetView showGridLines="0" zoomScale="90" workbookViewId="0" tabSelected="1">
      <pane xSplit="8" ySplit="11" topLeftCell="I12" activePane="bottomRight" state="frozen"/>
      <selection pane="bottomLeft" activeCell="A12" sqref="A12"/>
      <selection pane="topRight" activeCell="I1" sqref="I1"/>
      <selection pane="bottomRight" activeCell="I95" sqref="I95"/>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5"/>
      <c r="F3" s="2266"/>
      <c r="X3" s="512">
        <v>75</v>
      </c>
    </row>
    <row s="1642" customFormat="1" customHeight="1" ht="21">
      <c r="A4" s="958"/>
      <c r="B4" s="518"/>
      <c r="D4" s="2240" t="str">
        <f>IF(org=0,"Не определено",org)</f>
        <v>Общество с ограниченной ответственностью "Сигнал", г. Серов</v>
      </c>
      <c r="E4" s="2241"/>
      <c r="F4" s="2242"/>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117</v>
      </c>
      <c r="J6" s="1029"/>
      <c r="X6" s="512">
        <v>1</v>
      </c>
    </row>
    <row customHeight="1" ht="11.549999999999999">
      <c r="D7" s="718"/>
      <c r="E7" s="2393" t="s">
        <v>105</v>
      </c>
      <c r="F7" s="2394"/>
      <c r="G7" s="2419" t="str">
        <f>IF(G6="","",INDEX(DIFFERENTIATION_UNMERGE_VD,MATCH(G6,DIFFERENTIATION_ID_DIFF,0)))</f>
        <v/>
      </c>
      <c r="H7" s="2420"/>
      <c r="I7" s="2419" t="str">
        <f>IF(I6="","",INDEX(DIFFERENTIATION_UNMERGE_VD,MATCH(I6,DIFFERENTIATION_ID_DIFF,0)))</f>
        <v>Водоотведение</v>
      </c>
      <c r="J7" s="2420"/>
      <c r="K7" s="2201"/>
      <c r="L7" s="516"/>
      <c r="X7" s="512">
        <v>11</v>
      </c>
    </row>
    <row customHeight="1" ht="11.549999999999999">
      <c r="A8" s="711"/>
      <c r="D8" s="718"/>
      <c r="E8" s="2393" t="s">
        <v>561</v>
      </c>
      <c r="F8" s="2394"/>
      <c r="G8" s="2419" t="str">
        <f>IF(G6="","",INDEX(DIFFERENTIATION_UNMERGE_AREA,MATCH(G6,DIFFERENTIATION_ID_DIFF,0)))</f>
        <v/>
      </c>
      <c r="H8" s="2420"/>
      <c r="I8" s="2419" t="str">
        <f>IF(I6="","",INDEX(DIFFERENTIATION_UNMERGE_AREA,MATCH(I6,DIFFERENTIATION_ID_DIFF,0)))</f>
        <v>Территория 1</v>
      </c>
      <c r="J8" s="2420"/>
      <c r="K8" s="2225"/>
      <c r="L8" s="516"/>
      <c r="X8" s="512">
        <v>11</v>
      </c>
    </row>
    <row customHeight="1" ht="11.549999999999999">
      <c r="A9" s="711"/>
      <c r="D9" s="718"/>
      <c r="E9" s="2393" t="s">
        <v>562</v>
      </c>
      <c r="F9" s="2394"/>
      <c r="G9" s="2419" t="str">
        <f>IF(G6="","",INDEX(DIFFERENTIATION_UNMERGE_SYSTEM,MATCH(G6,DIFFERENTIATION_ID_DIFF,0)))</f>
        <v/>
      </c>
      <c r="H9" s="2420"/>
      <c r="I9" s="2419" t="str">
        <f>IF(I6="","",INDEX(DIFFERENTIATION_UNMERGE_SYSTEM,MATCH(I6,DIFFERENTIATION_ID_DIFF,0)))</f>
        <v>без дифференциации</v>
      </c>
      <c r="J9" s="2420"/>
      <c r="K9" s="2225"/>
      <c r="L9" s="516"/>
      <c r="X9" s="512">
        <v>11</v>
      </c>
    </row>
    <row s="1642" customFormat="1" customHeight="1" ht="11.549999999999999">
      <c r="A10" s="1028"/>
      <c r="B10" s="518"/>
      <c r="D10" s="2127" t="s">
        <v>299</v>
      </c>
      <c r="E10" s="2128"/>
      <c r="F10" s="2128"/>
      <c r="G10" s="2128"/>
      <c r="H10" s="2128"/>
      <c r="I10" s="2128"/>
      <c r="J10" s="2129"/>
      <c r="K10" s="2225"/>
      <c r="L10" s="516"/>
      <c r="X10" s="765">
        <v>11</v>
      </c>
    </row>
    <row s="1642" customFormat="1" customHeight="1" ht="24">
      <c r="A11" s="2411"/>
      <c r="B11" s="2411"/>
      <c r="C11" s="664"/>
      <c r="D11" s="710" t="s">
        <v>88</v>
      </c>
      <c r="E11" s="712" t="s">
        <v>834</v>
      </c>
      <c r="F11" s="712" t="s">
        <v>563</v>
      </c>
      <c r="G11" s="472" t="s">
        <v>302</v>
      </c>
      <c r="H11" s="472" t="s">
        <v>389</v>
      </c>
      <c r="I11" s="814" t="s">
        <v>302</v>
      </c>
      <c r="J11" s="815" t="s">
        <v>389</v>
      </c>
      <c r="K11" s="2258"/>
      <c r="L11" s="665"/>
      <c r="X11" s="516">
        <v>23</v>
      </c>
    </row>
    <row s="1649" customFormat="1" customHeight="1" ht="10.5">
      <c r="A12" s="959"/>
      <c r="D12" s="1032" t="s">
        <v>109</v>
      </c>
      <c r="E12" s="1032" t="s">
        <v>110</v>
      </c>
      <c r="F12" s="1032" t="s">
        <v>90</v>
      </c>
      <c r="G12" s="1033" t="str">
        <f>G1&amp;".1"</f>
        <v>4.1</v>
      </c>
      <c r="H12" s="1033" t="str">
        <f>G1&amp;".2"</f>
        <v>4.2</v>
      </c>
      <c r="I12" s="1033" t="str">
        <f>I1&amp;".1"</f>
        <v>4.1</v>
      </c>
      <c r="J12" s="1033" t="str">
        <f>I1&amp;".2"</f>
        <v>4.2</v>
      </c>
      <c r="K12" s="1033"/>
      <c r="X12" s="518">
        <v>10</v>
      </c>
    </row>
    <row customHeight="1" ht="22.5" hidden="1">
      <c r="A13" s="2418" t="s">
        <v>835</v>
      </c>
      <c r="D13" s="960" t="s">
        <v>109</v>
      </c>
      <c r="E13" s="286" t="s">
        <v>836</v>
      </c>
      <c r="F13" s="667" t="s">
        <v>837</v>
      </c>
      <c r="G13" s="564"/>
      <c r="H13" s="668"/>
      <c r="I13" s="564"/>
      <c r="J13" s="668"/>
      <c r="K13" s="296" t="s">
        <v>838</v>
      </c>
      <c r="L13" s="727"/>
      <c r="X13" s="512">
        <v>0</v>
      </c>
    </row>
    <row customHeight="1" ht="22.5" hidden="1">
      <c r="A14" s="2418"/>
      <c r="D14" s="546" t="s">
        <v>110</v>
      </c>
      <c r="E14" s="286" t="s">
        <v>839</v>
      </c>
      <c r="F14" s="667" t="s">
        <v>840</v>
      </c>
      <c r="G14" s="564"/>
      <c r="H14" s="669"/>
      <c r="I14" s="564"/>
      <c r="J14" s="669"/>
      <c r="K14" s="296" t="s">
        <v>841</v>
      </c>
      <c r="L14" s="727"/>
      <c r="X14" s="512">
        <v>0</v>
      </c>
    </row>
    <row s="1642" customFormat="1" customHeight="1" ht="78.75" hidden="1">
      <c r="A15" s="2418"/>
      <c r="B15" s="518"/>
      <c r="D15" s="960" t="s">
        <v>90</v>
      </c>
      <c r="E15" s="714" t="s">
        <v>842</v>
      </c>
      <c r="F15" s="957" t="s">
        <v>305</v>
      </c>
      <c r="G15" s="957" t="s">
        <v>305</v>
      </c>
      <c r="H15" s="113"/>
      <c r="I15" s="957" t="s">
        <v>305</v>
      </c>
      <c r="J15" s="113"/>
      <c r="K15" s="296" t="s">
        <v>843</v>
      </c>
      <c r="L15" s="727"/>
      <c r="X15" s="765">
        <v>0</v>
      </c>
    </row>
    <row s="1642" customFormat="1" customHeight="1" ht="22.5" hidden="1">
      <c r="A16" s="2418"/>
      <c r="B16" s="518"/>
      <c r="D16" s="960" t="s">
        <v>323</v>
      </c>
      <c r="E16" s="961" t="s">
        <v>844</v>
      </c>
      <c r="F16" s="957" t="s">
        <v>845</v>
      </c>
      <c r="G16" s="824"/>
      <c r="H16" s="113"/>
      <c r="I16" s="824"/>
      <c r="J16" s="113"/>
      <c r="K16" s="296"/>
      <c r="L16" s="727"/>
      <c r="X16" s="765">
        <v>0</v>
      </c>
    </row>
    <row s="1642" customFormat="1" customHeight="1" ht="22.5" hidden="1">
      <c r="A17" s="2418"/>
      <c r="B17" s="518"/>
      <c r="D17" s="960" t="s">
        <v>331</v>
      </c>
      <c r="E17" s="961" t="s">
        <v>846</v>
      </c>
      <c r="F17" s="957" t="s">
        <v>847</v>
      </c>
      <c r="G17" s="824"/>
      <c r="H17" s="113"/>
      <c r="I17" s="824"/>
      <c r="J17" s="113"/>
      <c r="K17" s="296"/>
      <c r="L17" s="727"/>
      <c r="X17" s="765">
        <v>0</v>
      </c>
    </row>
    <row s="1642" customFormat="1" customHeight="1" ht="33.75" hidden="1">
      <c r="A18" s="2418"/>
      <c r="B18" s="518"/>
      <c r="D18" s="960" t="s">
        <v>333</v>
      </c>
      <c r="E18" s="961" t="s">
        <v>848</v>
      </c>
      <c r="F18" s="957" t="s">
        <v>568</v>
      </c>
      <c r="G18" s="687"/>
      <c r="H18" s="113"/>
      <c r="I18" s="687"/>
      <c r="J18" s="113"/>
      <c r="K18" s="296"/>
      <c r="L18" s="727"/>
      <c r="X18" s="765">
        <v>0</v>
      </c>
    </row>
    <row customHeight="1" ht="101.25" hidden="1">
      <c r="A19" s="2418"/>
      <c r="D19" s="960" t="s">
        <v>91</v>
      </c>
      <c r="E19" s="286" t="s">
        <v>849</v>
      </c>
      <c r="F19" s="667" t="s">
        <v>543</v>
      </c>
      <c r="G19" s="670"/>
      <c r="H19" s="669"/>
      <c r="I19" s="962"/>
      <c r="J19" s="669"/>
      <c r="K19" s="296" t="s">
        <v>850</v>
      </c>
      <c r="L19" s="727"/>
      <c r="X19" s="512">
        <v>0</v>
      </c>
    </row>
    <row s="1642" customFormat="1" customHeight="1" ht="18.75" hidden="1">
      <c r="A20" s="2418"/>
      <c r="C20" s="963"/>
      <c r="D20" s="960" t="s">
        <v>769</v>
      </c>
      <c r="E20" s="961" t="s">
        <v>851</v>
      </c>
      <c r="F20" s="957" t="s">
        <v>305</v>
      </c>
      <c r="G20" s="957" t="s">
        <v>305</v>
      </c>
      <c r="H20" s="956" t="s">
        <v>305</v>
      </c>
      <c r="I20" s="957" t="s">
        <v>305</v>
      </c>
      <c r="J20" s="956" t="s">
        <v>305</v>
      </c>
      <c r="K20" s="955"/>
      <c r="L20" s="727"/>
      <c r="W20" s="682"/>
      <c r="X20" s="765">
        <v>0</v>
      </c>
    </row>
    <row s="1642" customFormat="1" customHeight="1" ht="33.75" hidden="1">
      <c r="A21" s="2418"/>
      <c r="C21" s="963"/>
      <c r="D21" s="960" t="s">
        <v>772</v>
      </c>
      <c r="E21" s="583" t="s">
        <v>852</v>
      </c>
      <c r="F21" s="957" t="s">
        <v>853</v>
      </c>
      <c r="G21" s="687"/>
      <c r="H21" s="113"/>
      <c r="I21" s="687"/>
      <c r="J21" s="113"/>
      <c r="K21" s="955"/>
      <c r="L21" s="727"/>
      <c r="W21" s="682"/>
      <c r="X21" s="765">
        <v>0</v>
      </c>
    </row>
    <row s="1642" customFormat="1" customHeight="1" ht="33.75" hidden="1">
      <c r="A22" s="2418"/>
      <c r="C22" s="963"/>
      <c r="D22" s="960" t="s">
        <v>775</v>
      </c>
      <c r="E22" s="583" t="s">
        <v>854</v>
      </c>
      <c r="F22" s="957" t="s">
        <v>855</v>
      </c>
      <c r="G22" s="687"/>
      <c r="H22" s="113"/>
      <c r="I22" s="687"/>
      <c r="J22" s="113"/>
      <c r="K22" s="955"/>
      <c r="L22" s="727"/>
      <c r="W22" s="682"/>
      <c r="X22" s="765">
        <v>0</v>
      </c>
    </row>
    <row s="1642" customFormat="1" customHeight="1" ht="22.5" hidden="1">
      <c r="A23" s="2418"/>
      <c r="C23" s="963"/>
      <c r="D23" s="960" t="s">
        <v>813</v>
      </c>
      <c r="E23" s="961" t="s">
        <v>856</v>
      </c>
      <c r="F23" s="957" t="s">
        <v>305</v>
      </c>
      <c r="G23" s="957" t="s">
        <v>305</v>
      </c>
      <c r="H23" s="956" t="s">
        <v>305</v>
      </c>
      <c r="I23" s="957" t="s">
        <v>305</v>
      </c>
      <c r="J23" s="956" t="s">
        <v>305</v>
      </c>
      <c r="K23" s="955"/>
      <c r="L23" s="727"/>
      <c r="W23" s="682"/>
      <c r="X23" s="765">
        <v>0</v>
      </c>
    </row>
    <row s="1642" customFormat="1" customHeight="1" ht="22.5" hidden="1">
      <c r="A24" s="2418"/>
      <c r="C24" s="963"/>
      <c r="D24" s="960" t="s">
        <v>857</v>
      </c>
      <c r="E24" s="583" t="s">
        <v>858</v>
      </c>
      <c r="F24" s="957" t="s">
        <v>859</v>
      </c>
      <c r="G24" s="687"/>
      <c r="H24" s="693"/>
      <c r="I24" s="687"/>
      <c r="J24" s="693"/>
      <c r="K24" s="955"/>
      <c r="L24" s="727"/>
      <c r="W24" s="682"/>
      <c r="X24" s="765">
        <v>0</v>
      </c>
    </row>
    <row s="1642" customFormat="1" customHeight="1" ht="22.5" hidden="1">
      <c r="A25" s="2418"/>
      <c r="C25" s="963"/>
      <c r="D25" s="960" t="s">
        <v>860</v>
      </c>
      <c r="E25" s="583" t="s">
        <v>861</v>
      </c>
      <c r="F25" s="957" t="s">
        <v>305</v>
      </c>
      <c r="G25" s="957" t="s">
        <v>305</v>
      </c>
      <c r="H25" s="956" t="s">
        <v>305</v>
      </c>
      <c r="I25" s="957" t="s">
        <v>305</v>
      </c>
      <c r="J25" s="956" t="s">
        <v>305</v>
      </c>
      <c r="K25" s="955"/>
      <c r="L25" s="727"/>
      <c r="W25" s="682"/>
      <c r="X25" s="765">
        <v>0</v>
      </c>
    </row>
    <row s="1642" customFormat="1" customHeight="1" ht="18.75" hidden="1">
      <c r="A26" s="2418"/>
      <c r="C26" s="963"/>
      <c r="D26" s="960" t="s">
        <v>862</v>
      </c>
      <c r="E26" s="560" t="s">
        <v>863</v>
      </c>
      <c r="F26" s="957" t="s">
        <v>864</v>
      </c>
      <c r="G26" s="687"/>
      <c r="H26" s="693"/>
      <c r="I26" s="687"/>
      <c r="J26" s="693"/>
      <c r="K26" s="955"/>
      <c r="L26" s="727"/>
      <c r="W26" s="682"/>
      <c r="X26" s="765">
        <v>0</v>
      </c>
    </row>
    <row s="1642" customFormat="1" customHeight="1" ht="18.75" hidden="1">
      <c r="A27" s="2418"/>
      <c r="C27" s="963"/>
      <c r="D27" s="960" t="s">
        <v>865</v>
      </c>
      <c r="E27" s="560" t="s">
        <v>866</v>
      </c>
      <c r="F27" s="957" t="s">
        <v>867</v>
      </c>
      <c r="G27" s="687"/>
      <c r="H27" s="693"/>
      <c r="I27" s="687"/>
      <c r="J27" s="693"/>
      <c r="K27" s="955"/>
      <c r="L27" s="727"/>
      <c r="W27" s="682"/>
      <c r="X27" s="765">
        <v>0</v>
      </c>
    </row>
    <row s="1642" customFormat="1" customHeight="1" ht="18.75" hidden="1">
      <c r="A28" s="2418"/>
      <c r="C28" s="963"/>
      <c r="D28" s="960" t="s">
        <v>868</v>
      </c>
      <c r="E28" s="583" t="s">
        <v>869</v>
      </c>
      <c r="F28" s="957" t="s">
        <v>305</v>
      </c>
      <c r="G28" s="957" t="s">
        <v>305</v>
      </c>
      <c r="H28" s="956" t="s">
        <v>305</v>
      </c>
      <c r="I28" s="957" t="s">
        <v>305</v>
      </c>
      <c r="J28" s="956" t="s">
        <v>305</v>
      </c>
      <c r="K28" s="955"/>
      <c r="L28" s="727"/>
      <c r="W28" s="682"/>
      <c r="X28" s="765">
        <v>0</v>
      </c>
    </row>
    <row s="1642" customFormat="1" customHeight="1" ht="18.75" hidden="1">
      <c r="A29" s="2418"/>
      <c r="C29" s="963"/>
      <c r="D29" s="960" t="s">
        <v>870</v>
      </c>
      <c r="E29" s="560" t="s">
        <v>863</v>
      </c>
      <c r="F29" s="957" t="s">
        <v>871</v>
      </c>
      <c r="G29" s="687"/>
      <c r="H29" s="693"/>
      <c r="I29" s="687"/>
      <c r="J29" s="693"/>
      <c r="K29" s="955"/>
      <c r="L29" s="727"/>
      <c r="W29" s="682"/>
      <c r="X29" s="765">
        <v>0</v>
      </c>
    </row>
    <row s="1642" customFormat="1" customHeight="1" ht="18.75" hidden="1">
      <c r="A30" s="2418"/>
      <c r="C30" s="963"/>
      <c r="D30" s="960" t="s">
        <v>872</v>
      </c>
      <c r="E30" s="560" t="s">
        <v>873</v>
      </c>
      <c r="F30" s="957" t="s">
        <v>874</v>
      </c>
      <c r="G30" s="687"/>
      <c r="H30" s="693"/>
      <c r="I30" s="687"/>
      <c r="J30" s="693"/>
      <c r="K30" s="955"/>
      <c r="L30" s="727"/>
      <c r="W30" s="682"/>
      <c r="X30" s="765">
        <v>0</v>
      </c>
    </row>
    <row customHeight="1" ht="126.75" hidden="1">
      <c r="A31" s="2418"/>
      <c r="D31" s="960" t="s">
        <v>111</v>
      </c>
      <c r="E31" s="286" t="s">
        <v>875</v>
      </c>
      <c r="F31" s="667" t="s">
        <v>555</v>
      </c>
      <c r="G31" s="564"/>
      <c r="H31" s="669"/>
      <c r="I31" s="564"/>
      <c r="J31" s="669"/>
      <c r="K31" s="296" t="s">
        <v>876</v>
      </c>
      <c r="L31" s="727"/>
      <c r="X31" s="512">
        <v>0</v>
      </c>
    </row>
    <row customHeight="1" ht="56.25" hidden="1">
      <c r="A32" s="2418"/>
      <c r="D32" s="960" t="s">
        <v>92</v>
      </c>
      <c r="E32" s="286" t="s">
        <v>877</v>
      </c>
      <c r="F32" s="546" t="s">
        <v>847</v>
      </c>
      <c r="G32" s="564"/>
      <c r="H32" s="669"/>
      <c r="I32" s="564"/>
      <c r="J32" s="669"/>
      <c r="K32" s="296" t="s">
        <v>878</v>
      </c>
      <c r="L32" s="727"/>
      <c r="X32" s="512">
        <v>0</v>
      </c>
    </row>
    <row customHeight="1" ht="11.25" hidden="1">
      <c r="A33" s="2418"/>
      <c r="E33" s="671"/>
      <c r="F33" s="188"/>
      <c r="G33" s="188"/>
      <c r="H33" s="188"/>
      <c r="I33" s="188"/>
      <c r="J33" s="188"/>
      <c r="K33" s="188"/>
      <c r="X33" s="512">
        <v>0</v>
      </c>
    </row>
    <row customHeight="1" ht="12.75" hidden="1">
      <c r="A34" s="2418"/>
      <c r="D34" s="72">
        <v>1</v>
      </c>
      <c r="E34" s="342" t="s">
        <v>879</v>
      </c>
      <c r="X34" s="512">
        <v>0</v>
      </c>
    </row>
    <row customHeight="1" ht="11.25" hidden="1">
      <c r="A35" s="2418"/>
      <c r="D35" s="376"/>
      <c r="E35" s="342" t="s">
        <v>880</v>
      </c>
      <c r="X35" s="512">
        <v>0</v>
      </c>
    </row>
    <row s="1642" customFormat="1" customHeight="1" ht="11.549999999999999">
      <c r="A36" s="1040"/>
      <c r="B36" s="525"/>
      <c r="D36" s="1041"/>
      <c r="E36" s="1042"/>
      <c r="X36" s="516">
        <v>11</v>
      </c>
    </row>
    <row s="1642" customFormat="1" customHeight="1" ht="22.5" hidden="1">
      <c r="A37" s="2418" t="s">
        <v>881</v>
      </c>
      <c r="B37" s="518"/>
      <c r="D37" s="960">
        <v>1</v>
      </c>
      <c r="E37" s="714" t="s">
        <v>882</v>
      </c>
      <c r="F37" s="667" t="s">
        <v>837</v>
      </c>
      <c r="G37" s="564"/>
      <c r="H37" s="526"/>
      <c r="I37" s="564"/>
      <c r="J37" s="526"/>
      <c r="K37" s="296" t="s">
        <v>883</v>
      </c>
      <c r="X37" s="765">
        <v>0</v>
      </c>
    </row>
    <row s="1642" customFormat="1" customHeight="1" ht="22.5" hidden="1">
      <c r="A38" s="2418"/>
      <c r="B38" s="518"/>
      <c r="D38" s="676" t="s">
        <v>110</v>
      </c>
      <c r="E38" s="1039" t="s">
        <v>884</v>
      </c>
      <c r="F38" s="1043" t="s">
        <v>543</v>
      </c>
      <c r="G38" s="1043" t="s">
        <v>543</v>
      </c>
      <c r="H38" s="1037"/>
      <c r="I38" s="1043" t="s">
        <v>543</v>
      </c>
      <c r="J38" s="1037"/>
      <c r="K38" s="1038"/>
      <c r="X38" s="765">
        <v>0</v>
      </c>
    </row>
    <row s="1642" customFormat="1" customHeight="1" ht="33.75" hidden="1">
      <c r="A39" s="2418"/>
      <c r="B39" s="518"/>
      <c r="D39" s="672" t="s">
        <v>721</v>
      </c>
      <c r="E39" s="730" t="s">
        <v>885</v>
      </c>
      <c r="F39" s="667" t="s">
        <v>886</v>
      </c>
      <c r="G39" s="675"/>
      <c r="H39" s="1030"/>
      <c r="I39" s="675"/>
      <c r="J39" s="1030"/>
      <c r="K39" s="296" t="s">
        <v>887</v>
      </c>
      <c r="X39" s="765">
        <v>0</v>
      </c>
    </row>
    <row s="1642" customFormat="1" customHeight="1" ht="33.75" hidden="1">
      <c r="A40" s="2418"/>
      <c r="B40" s="518"/>
      <c r="D40" s="672" t="s">
        <v>724</v>
      </c>
      <c r="E40" s="730" t="s">
        <v>888</v>
      </c>
      <c r="F40" s="1034" t="s">
        <v>889</v>
      </c>
      <c r="G40" s="748"/>
      <c r="H40" s="1030"/>
      <c r="I40" s="748"/>
      <c r="J40" s="1030"/>
      <c r="K40" s="296" t="s">
        <v>890</v>
      </c>
      <c r="X40" s="765">
        <v>0</v>
      </c>
    </row>
    <row s="1642" customFormat="1" customHeight="1" ht="22.5" hidden="1">
      <c r="A41" s="2418"/>
      <c r="B41" s="518"/>
      <c r="D41" s="672" t="s">
        <v>90</v>
      </c>
      <c r="E41" s="729" t="s">
        <v>891</v>
      </c>
      <c r="F41" s="667" t="s">
        <v>543</v>
      </c>
      <c r="G41" s="667" t="s">
        <v>543</v>
      </c>
      <c r="H41" s="1031"/>
      <c r="I41" s="667" t="s">
        <v>543</v>
      </c>
      <c r="J41" s="1031"/>
      <c r="K41" s="309"/>
      <c r="X41" s="765">
        <v>0</v>
      </c>
    </row>
    <row s="1642" customFormat="1" customHeight="1" ht="45" hidden="1">
      <c r="A42" s="2418"/>
      <c r="B42" s="518"/>
      <c r="D42" s="672" t="s">
        <v>323</v>
      </c>
      <c r="E42" s="730" t="s">
        <v>892</v>
      </c>
      <c r="F42" s="667" t="s">
        <v>555</v>
      </c>
      <c r="G42" s="564"/>
      <c r="H42" s="1031"/>
      <c r="I42" s="564"/>
      <c r="J42" s="1031"/>
      <c r="K42" s="309" t="s">
        <v>893</v>
      </c>
      <c r="X42" s="765">
        <v>0</v>
      </c>
    </row>
    <row s="1642" customFormat="1" customHeight="1" ht="45" hidden="1">
      <c r="A43" s="2418"/>
      <c r="B43" s="518"/>
      <c r="D43" s="672" t="s">
        <v>331</v>
      </c>
      <c r="E43" s="674" t="s">
        <v>894</v>
      </c>
      <c r="F43" s="1035" t="s">
        <v>555</v>
      </c>
      <c r="G43" s="749"/>
      <c r="H43" s="1030"/>
      <c r="I43" s="749"/>
      <c r="J43" s="1030"/>
      <c r="K43" s="309" t="s">
        <v>895</v>
      </c>
      <c r="X43" s="765">
        <v>0</v>
      </c>
    </row>
    <row s="1642" customFormat="1" customHeight="1" ht="11.25" hidden="1">
      <c r="A44" s="2418"/>
      <c r="B44" s="518"/>
      <c r="D44" s="672" t="s">
        <v>91</v>
      </c>
      <c r="E44" s="673" t="s">
        <v>896</v>
      </c>
      <c r="F44" s="667" t="s">
        <v>886</v>
      </c>
      <c r="G44" s="675"/>
      <c r="H44" s="1030"/>
      <c r="I44" s="675"/>
      <c r="J44" s="1030"/>
      <c r="K44" s="296"/>
      <c r="X44" s="765">
        <v>0</v>
      </c>
    </row>
    <row s="1642" customFormat="1" customHeight="1" ht="11.25" hidden="1">
      <c r="A45" s="2418"/>
      <c r="B45" s="518"/>
      <c r="D45" s="672" t="s">
        <v>769</v>
      </c>
      <c r="E45" s="674" t="s">
        <v>897</v>
      </c>
      <c r="F45" s="667" t="s">
        <v>886</v>
      </c>
      <c r="G45" s="675"/>
      <c r="H45" s="1030"/>
      <c r="I45" s="675"/>
      <c r="J45" s="1030"/>
      <c r="K45" s="296"/>
      <c r="X45" s="765">
        <v>0</v>
      </c>
    </row>
    <row s="1642" customFormat="1" customHeight="1" ht="11.25" hidden="1">
      <c r="A46" s="2418"/>
      <c r="B46" s="518"/>
      <c r="D46" s="672" t="s">
        <v>813</v>
      </c>
      <c r="E46" s="674" t="s">
        <v>898</v>
      </c>
      <c r="F46" s="667" t="s">
        <v>886</v>
      </c>
      <c r="G46" s="675"/>
      <c r="H46" s="1030"/>
      <c r="I46" s="675"/>
      <c r="J46" s="1030"/>
      <c r="K46" s="296"/>
      <c r="X46" s="765">
        <v>0</v>
      </c>
    </row>
    <row s="1642" customFormat="1" customHeight="1" ht="11.25" hidden="1">
      <c r="A47" s="2418"/>
      <c r="B47" s="518"/>
      <c r="D47" s="672" t="s">
        <v>816</v>
      </c>
      <c r="E47" s="674" t="s">
        <v>899</v>
      </c>
      <c r="F47" s="667" t="s">
        <v>886</v>
      </c>
      <c r="G47" s="675"/>
      <c r="H47" s="1030"/>
      <c r="I47" s="675"/>
      <c r="J47" s="1030"/>
      <c r="K47" s="296"/>
      <c r="X47" s="765">
        <v>0</v>
      </c>
    </row>
    <row s="1642" customFormat="1" customHeight="1" ht="11.25" hidden="1">
      <c r="A48" s="2418"/>
      <c r="B48" s="518"/>
      <c r="D48" s="672" t="s">
        <v>900</v>
      </c>
      <c r="E48" s="678" t="s">
        <v>901</v>
      </c>
      <c r="F48" s="667" t="s">
        <v>886</v>
      </c>
      <c r="G48" s="675"/>
      <c r="H48" s="1030"/>
      <c r="I48" s="675"/>
      <c r="J48" s="1030"/>
      <c r="K48" s="296"/>
      <c r="X48" s="765">
        <v>0</v>
      </c>
    </row>
    <row s="1642" customFormat="1" customHeight="1" ht="11.25" hidden="1">
      <c r="A49" s="2418"/>
      <c r="B49" s="518"/>
      <c r="D49" s="672" t="s">
        <v>902</v>
      </c>
      <c r="E49" s="678" t="s">
        <v>903</v>
      </c>
      <c r="F49" s="667" t="s">
        <v>886</v>
      </c>
      <c r="G49" s="675"/>
      <c r="H49" s="1030"/>
      <c r="I49" s="675"/>
      <c r="J49" s="1030"/>
      <c r="K49" s="296"/>
      <c r="X49" s="765">
        <v>0</v>
      </c>
    </row>
    <row s="1642" customFormat="1" customHeight="1" ht="11.25" hidden="1">
      <c r="A50" s="2418"/>
      <c r="B50" s="518"/>
      <c r="D50" s="672" t="s">
        <v>904</v>
      </c>
      <c r="E50" s="674" t="s">
        <v>905</v>
      </c>
      <c r="F50" s="667" t="s">
        <v>886</v>
      </c>
      <c r="G50" s="675"/>
      <c r="H50" s="1030"/>
      <c r="I50" s="675"/>
      <c r="J50" s="1030"/>
      <c r="K50" s="296"/>
      <c r="X50" s="765">
        <v>0</v>
      </c>
    </row>
    <row s="1642" customFormat="1" customHeight="1" ht="11.25" hidden="1">
      <c r="A51" s="2418"/>
      <c r="B51" s="518"/>
      <c r="D51" s="672" t="s">
        <v>906</v>
      </c>
      <c r="E51" s="674" t="s">
        <v>907</v>
      </c>
      <c r="F51" s="667" t="s">
        <v>886</v>
      </c>
      <c r="G51" s="675"/>
      <c r="H51" s="1030"/>
      <c r="I51" s="675"/>
      <c r="J51" s="1030"/>
      <c r="K51" s="296"/>
      <c r="X51" s="765">
        <v>0</v>
      </c>
    </row>
    <row s="1642" customFormat="1" customHeight="1" ht="45" hidden="1">
      <c r="A52" s="2418"/>
      <c r="B52" s="518"/>
      <c r="D52" s="672" t="s">
        <v>111</v>
      </c>
      <c r="E52" s="673" t="s">
        <v>908</v>
      </c>
      <c r="F52" s="667" t="s">
        <v>886</v>
      </c>
      <c r="G52" s="675"/>
      <c r="H52" s="1030"/>
      <c r="I52" s="675"/>
      <c r="J52" s="1030"/>
      <c r="K52" s="296"/>
      <c r="X52" s="765">
        <v>0</v>
      </c>
    </row>
    <row s="1642" customFormat="1" customHeight="1" ht="11.25" hidden="1">
      <c r="A53" s="2418"/>
      <c r="B53" s="518"/>
      <c r="D53" s="672" t="s">
        <v>312</v>
      </c>
      <c r="E53" s="674" t="s">
        <v>897</v>
      </c>
      <c r="F53" s="667" t="s">
        <v>886</v>
      </c>
      <c r="G53" s="675"/>
      <c r="H53" s="1030"/>
      <c r="I53" s="675"/>
      <c r="J53" s="1030"/>
      <c r="K53" s="296"/>
      <c r="X53" s="765">
        <v>0</v>
      </c>
    </row>
    <row s="1642" customFormat="1" customHeight="1" ht="11.25" hidden="1">
      <c r="A54" s="2418"/>
      <c r="B54" s="518"/>
      <c r="D54" s="672" t="s">
        <v>909</v>
      </c>
      <c r="E54" s="674" t="s">
        <v>898</v>
      </c>
      <c r="F54" s="667" t="s">
        <v>886</v>
      </c>
      <c r="G54" s="675"/>
      <c r="H54" s="1030"/>
      <c r="I54" s="675"/>
      <c r="J54" s="1030"/>
      <c r="K54" s="296"/>
      <c r="X54" s="765">
        <v>0</v>
      </c>
    </row>
    <row s="1642" customFormat="1" customHeight="1" ht="11.25" hidden="1">
      <c r="A55" s="2418"/>
      <c r="B55" s="518"/>
      <c r="D55" s="672" t="s">
        <v>910</v>
      </c>
      <c r="E55" s="674" t="s">
        <v>899</v>
      </c>
      <c r="F55" s="667" t="s">
        <v>886</v>
      </c>
      <c r="G55" s="675"/>
      <c r="H55" s="1030"/>
      <c r="I55" s="675"/>
      <c r="J55" s="1030"/>
      <c r="K55" s="296"/>
      <c r="X55" s="765">
        <v>0</v>
      </c>
    </row>
    <row s="1642" customFormat="1" customHeight="1" ht="11.25" hidden="1">
      <c r="A56" s="2418"/>
      <c r="B56" s="518"/>
      <c r="D56" s="672" t="s">
        <v>911</v>
      </c>
      <c r="E56" s="678" t="s">
        <v>901</v>
      </c>
      <c r="F56" s="667" t="s">
        <v>886</v>
      </c>
      <c r="G56" s="675"/>
      <c r="H56" s="1030"/>
      <c r="I56" s="675"/>
      <c r="J56" s="1030"/>
      <c r="K56" s="296"/>
      <c r="X56" s="765">
        <v>0</v>
      </c>
    </row>
    <row s="1642" customFormat="1" customHeight="1" ht="11.25" hidden="1">
      <c r="A57" s="2418"/>
      <c r="B57" s="518"/>
      <c r="D57" s="672" t="s">
        <v>912</v>
      </c>
      <c r="E57" s="678" t="s">
        <v>903</v>
      </c>
      <c r="F57" s="667" t="s">
        <v>886</v>
      </c>
      <c r="G57" s="675"/>
      <c r="H57" s="1030"/>
      <c r="I57" s="675"/>
      <c r="J57" s="1030"/>
      <c r="K57" s="296"/>
      <c r="X57" s="765">
        <v>0</v>
      </c>
    </row>
    <row s="1642" customFormat="1" customHeight="1" ht="11.25" hidden="1">
      <c r="A58" s="2418"/>
      <c r="B58" s="518"/>
      <c r="D58" s="672" t="s">
        <v>913</v>
      </c>
      <c r="E58" s="674" t="s">
        <v>905</v>
      </c>
      <c r="F58" s="667" t="s">
        <v>886</v>
      </c>
      <c r="G58" s="675"/>
      <c r="H58" s="1030"/>
      <c r="I58" s="675"/>
      <c r="J58" s="1030"/>
      <c r="K58" s="296"/>
      <c r="X58" s="765">
        <v>0</v>
      </c>
    </row>
    <row s="1642" customFormat="1" customHeight="1" ht="11.25" hidden="1">
      <c r="A59" s="2418"/>
      <c r="B59" s="518"/>
      <c r="D59" s="672" t="s">
        <v>914</v>
      </c>
      <c r="E59" s="674" t="s">
        <v>907</v>
      </c>
      <c r="F59" s="667" t="s">
        <v>886</v>
      </c>
      <c r="G59" s="675"/>
      <c r="H59" s="1030"/>
      <c r="I59" s="675"/>
      <c r="J59" s="1030"/>
      <c r="K59" s="296"/>
      <c r="X59" s="765">
        <v>0</v>
      </c>
    </row>
    <row s="1642" customFormat="1" customHeight="1" ht="33.75" hidden="1">
      <c r="A60" s="2418"/>
      <c r="B60" s="518"/>
      <c r="D60" s="672" t="s">
        <v>92</v>
      </c>
      <c r="E60" s="673" t="s">
        <v>915</v>
      </c>
      <c r="F60" s="728" t="s">
        <v>555</v>
      </c>
      <c r="G60" s="749"/>
      <c r="H60" s="1030"/>
      <c r="I60" s="749"/>
      <c r="J60" s="1030"/>
      <c r="K60" s="309" t="s">
        <v>916</v>
      </c>
      <c r="X60" s="765">
        <v>0</v>
      </c>
    </row>
    <row s="1642" customFormat="1" customHeight="1" ht="33.75" hidden="1">
      <c r="A61" s="2418"/>
      <c r="B61" s="518"/>
      <c r="D61" s="672" t="s">
        <v>93</v>
      </c>
      <c r="E61" s="673" t="s">
        <v>917</v>
      </c>
      <c r="F61" s="733" t="s">
        <v>847</v>
      </c>
      <c r="G61" s="675"/>
      <c r="H61" s="1030"/>
      <c r="I61" s="675"/>
      <c r="J61" s="1030"/>
      <c r="K61" s="296"/>
      <c r="X61" s="765">
        <v>0</v>
      </c>
    </row>
    <row s="1642" customFormat="1" customHeight="1" ht="22.5" hidden="1">
      <c r="A62" s="2418"/>
      <c r="B62" s="518" t="s">
        <v>589</v>
      </c>
      <c r="D62" s="672" t="s">
        <v>112</v>
      </c>
      <c r="E62" s="673" t="s">
        <v>918</v>
      </c>
      <c r="F62" s="733" t="s">
        <v>305</v>
      </c>
      <c r="G62" s="389"/>
      <c r="H62" s="1030"/>
      <c r="I62" s="389"/>
      <c r="J62" s="1030"/>
      <c r="K62" s="296" t="s">
        <v>641</v>
      </c>
      <c r="X62" s="765">
        <v>0</v>
      </c>
    </row>
    <row s="1642" customFormat="1" customHeight="1" ht="45" hidden="1">
      <c r="A63" s="2418"/>
      <c r="B63" s="518" t="s">
        <v>589</v>
      </c>
      <c r="D63" s="672" t="s">
        <v>919</v>
      </c>
      <c r="E63" s="674" t="s">
        <v>920</v>
      </c>
      <c r="F63" s="728" t="s">
        <v>305</v>
      </c>
      <c r="G63" s="389"/>
      <c r="H63" s="1030"/>
      <c r="I63" s="389"/>
      <c r="J63" s="1030"/>
      <c r="K63" s="296" t="s">
        <v>641</v>
      </c>
      <c r="X63" s="765">
        <v>0</v>
      </c>
    </row>
    <row s="1642" customFormat="1" customHeight="1" ht="11.549999999999999">
      <c r="A64" s="1040"/>
      <c r="B64" s="525"/>
      <c r="D64" s="1041"/>
      <c r="E64" s="1042"/>
      <c r="X64" s="516">
        <v>11</v>
      </c>
    </row>
    <row s="1642" customFormat="1" customHeight="1" ht="22.5" hidden="1">
      <c r="A65" s="2418" t="s">
        <v>921</v>
      </c>
      <c r="B65" s="518"/>
      <c r="D65" s="672">
        <v>1</v>
      </c>
      <c r="E65" s="751" t="s">
        <v>922</v>
      </c>
      <c r="F65" s="747" t="s">
        <v>837</v>
      </c>
      <c r="G65" s="748"/>
      <c r="H65" s="1036"/>
      <c r="I65" s="748"/>
      <c r="J65" s="1036"/>
      <c r="K65" s="308" t="s">
        <v>923</v>
      </c>
      <c r="X65" s="765">
        <v>0</v>
      </c>
    </row>
    <row s="1642" customFormat="1" customHeight="1" ht="56.25" hidden="1">
      <c r="A66" s="2418"/>
      <c r="B66" s="518"/>
      <c r="D66" s="750" t="s">
        <v>110</v>
      </c>
      <c r="E66" s="714" t="s">
        <v>924</v>
      </c>
      <c r="F66" s="667" t="s">
        <v>543</v>
      </c>
      <c r="G66" s="667" t="s">
        <v>543</v>
      </c>
      <c r="H66" s="526"/>
      <c r="I66" s="667" t="s">
        <v>543</v>
      </c>
      <c r="J66" s="526"/>
      <c r="K66" s="296"/>
      <c r="X66" s="765">
        <v>0</v>
      </c>
    </row>
    <row s="1642" customFormat="1" customHeight="1" ht="33.75" hidden="1">
      <c r="A67" s="2418"/>
      <c r="B67" s="518"/>
      <c r="D67" s="750" t="s">
        <v>718</v>
      </c>
      <c r="E67" s="961" t="s">
        <v>925</v>
      </c>
      <c r="F67" s="667" t="s">
        <v>889</v>
      </c>
      <c r="G67" s="734"/>
      <c r="H67" s="526"/>
      <c r="I67" s="734"/>
      <c r="J67" s="526"/>
      <c r="K67" s="296"/>
      <c r="X67" s="765">
        <v>0</v>
      </c>
    </row>
    <row s="1642" customFormat="1" customHeight="1" ht="22.5" hidden="1">
      <c r="A68" s="2418"/>
      <c r="B68" s="518"/>
      <c r="D68" s="750" t="s">
        <v>306</v>
      </c>
      <c r="E68" s="961" t="s">
        <v>926</v>
      </c>
      <c r="F68" s="667" t="s">
        <v>889</v>
      </c>
      <c r="G68" s="734"/>
      <c r="H68" s="526"/>
      <c r="I68" s="734"/>
      <c r="J68" s="526"/>
      <c r="K68" s="296"/>
      <c r="X68" s="765">
        <v>0</v>
      </c>
    </row>
    <row s="1642" customFormat="1" customHeight="1" ht="22.5" hidden="1">
      <c r="A69" s="2418"/>
      <c r="B69" s="518"/>
      <c r="D69" s="750" t="s">
        <v>309</v>
      </c>
      <c r="E69" s="961" t="s">
        <v>927</v>
      </c>
      <c r="F69" s="728" t="s">
        <v>555</v>
      </c>
      <c r="G69" s="749"/>
      <c r="H69" s="526"/>
      <c r="I69" s="749"/>
      <c r="J69" s="526"/>
      <c r="K69" s="296"/>
      <c r="X69" s="765">
        <v>0</v>
      </c>
    </row>
    <row s="1642" customFormat="1" customHeight="1" ht="22.5" hidden="1">
      <c r="A70" s="2418"/>
      <c r="B70" s="518"/>
      <c r="D70" s="750" t="s">
        <v>738</v>
      </c>
      <c r="E70" s="961" t="s">
        <v>928</v>
      </c>
      <c r="F70" s="728" t="s">
        <v>555</v>
      </c>
      <c r="G70" s="749"/>
      <c r="H70" s="526"/>
      <c r="I70" s="749"/>
      <c r="J70" s="526"/>
      <c r="K70" s="296"/>
      <c r="X70" s="765">
        <v>0</v>
      </c>
    </row>
    <row s="1642" customFormat="1" customHeight="1" ht="22.5" hidden="1">
      <c r="A71" s="2418"/>
      <c r="B71" s="518"/>
      <c r="D71" s="672" t="s">
        <v>90</v>
      </c>
      <c r="E71" s="673" t="s">
        <v>929</v>
      </c>
      <c r="F71" s="667" t="s">
        <v>889</v>
      </c>
      <c r="G71" s="564"/>
      <c r="H71" s="1037"/>
      <c r="I71" s="564"/>
      <c r="J71" s="1037"/>
      <c r="K71" s="309"/>
      <c r="X71" s="765">
        <v>0</v>
      </c>
    </row>
    <row s="1642" customFormat="1" customHeight="1" ht="56.25" hidden="1">
      <c r="A72" s="2418"/>
      <c r="B72" s="518"/>
      <c r="D72" s="672" t="s">
        <v>91</v>
      </c>
      <c r="E72" s="673" t="s">
        <v>930</v>
      </c>
      <c r="F72" s="728" t="s">
        <v>555</v>
      </c>
      <c r="G72" s="749"/>
      <c r="H72" s="1030"/>
      <c r="I72" s="749"/>
      <c r="J72" s="1030"/>
      <c r="K72" s="309"/>
      <c r="X72" s="765">
        <v>0</v>
      </c>
    </row>
    <row s="1642" customFormat="1" customHeight="1" ht="33.75" hidden="1">
      <c r="A73" s="2418"/>
      <c r="B73" s="518"/>
      <c r="D73" s="672" t="s">
        <v>111</v>
      </c>
      <c r="E73" s="673" t="s">
        <v>931</v>
      </c>
      <c r="F73" s="733" t="s">
        <v>847</v>
      </c>
      <c r="G73" s="675"/>
      <c r="H73" s="1030"/>
      <c r="I73" s="675"/>
      <c r="J73" s="1030"/>
      <c r="K73" s="296"/>
      <c r="X73" s="765">
        <v>0</v>
      </c>
    </row>
    <row s="1642" customFormat="1" customHeight="1" ht="22.5" hidden="1">
      <c r="A74" s="2418"/>
      <c r="B74" s="518" t="s">
        <v>589</v>
      </c>
      <c r="D74" s="672" t="s">
        <v>92</v>
      </c>
      <c r="E74" s="673" t="s">
        <v>932</v>
      </c>
      <c r="F74" s="733" t="s">
        <v>305</v>
      </c>
      <c r="G74" s="389"/>
      <c r="H74" s="1030"/>
      <c r="I74" s="389"/>
      <c r="J74" s="1030"/>
      <c r="K74" s="296" t="s">
        <v>641</v>
      </c>
      <c r="X74" s="765">
        <v>0</v>
      </c>
    </row>
    <row s="1642" customFormat="1" customHeight="1" ht="45" hidden="1">
      <c r="A75" s="2418"/>
      <c r="B75" s="518" t="s">
        <v>589</v>
      </c>
      <c r="D75" s="672" t="s">
        <v>662</v>
      </c>
      <c r="E75" s="674" t="s">
        <v>933</v>
      </c>
      <c r="F75" s="728" t="s">
        <v>305</v>
      </c>
      <c r="G75" s="389"/>
      <c r="H75" s="1030"/>
      <c r="I75" s="389"/>
      <c r="J75" s="1030"/>
      <c r="K75" s="296" t="s">
        <v>641</v>
      </c>
      <c r="X75" s="765">
        <v>0</v>
      </c>
    </row>
    <row s="1642" customFormat="1" customHeight="1" ht="11.549999999999999">
      <c r="A76" s="1040"/>
      <c r="B76" s="525"/>
      <c r="D76" s="1041"/>
      <c r="E76" s="1042"/>
      <c r="X76" s="516">
        <v>11</v>
      </c>
    </row>
    <row s="1642" customFormat="1" customHeight="1" ht="11.25">
      <c r="A77" s="2418" t="s">
        <v>934</v>
      </c>
      <c r="B77" s="518"/>
      <c r="D77" s="672">
        <v>1</v>
      </c>
      <c r="E77" s="673" t="s">
        <v>935</v>
      </c>
      <c r="F77" s="728" t="s">
        <v>837</v>
      </c>
      <c r="G77" s="731"/>
      <c r="H77" s="1030"/>
      <c r="I77" s="731">
        <v>0.019</v>
      </c>
      <c r="J77" s="1030"/>
      <c r="K77" s="296" t="s">
        <v>936</v>
      </c>
      <c r="X77" s="765">
        <v>0</v>
      </c>
    </row>
    <row s="1642" customFormat="1" customHeight="1" ht="11.25">
      <c r="A78" s="2418"/>
      <c r="B78" s="518"/>
      <c r="D78" s="672" t="s">
        <v>110</v>
      </c>
      <c r="E78" s="673" t="s">
        <v>937</v>
      </c>
      <c r="F78" s="728" t="s">
        <v>837</v>
      </c>
      <c r="G78" s="731"/>
      <c r="H78" s="1030"/>
      <c r="I78" s="731">
        <v>16.01</v>
      </c>
      <c r="J78" s="1030"/>
      <c r="K78" s="296" t="s">
        <v>938</v>
      </c>
      <c r="X78" s="765">
        <v>0</v>
      </c>
    </row>
    <row s="1642" customFormat="1" customHeight="1" ht="22.5">
      <c r="A79" s="2418"/>
      <c r="B79" s="518"/>
      <c r="D79" s="672" t="s">
        <v>90</v>
      </c>
      <c r="E79" s="729" t="s">
        <v>939</v>
      </c>
      <c r="F79" s="667" t="s">
        <v>886</v>
      </c>
      <c r="G79" s="731"/>
      <c r="H79" s="1030"/>
      <c r="I79" s="731">
        <v>93</v>
      </c>
      <c r="J79" s="1030"/>
      <c r="K79" s="296" t="s">
        <v>940</v>
      </c>
      <c r="X79" s="765">
        <v>0</v>
      </c>
    </row>
    <row s="1642" customFormat="1" customHeight="1" ht="11.25">
      <c r="A80" s="2418"/>
      <c r="B80" s="518"/>
      <c r="D80" s="672" t="s">
        <v>323</v>
      </c>
      <c r="E80" s="730" t="s">
        <v>941</v>
      </c>
      <c r="F80" s="667" t="s">
        <v>886</v>
      </c>
      <c r="G80" s="731"/>
      <c r="H80" s="1030"/>
      <c r="I80" s="731">
        <v>12</v>
      </c>
      <c r="J80" s="1030"/>
      <c r="K80" s="296"/>
      <c r="X80" s="765">
        <v>0</v>
      </c>
    </row>
    <row s="1642" customFormat="1" customHeight="1" ht="11.25">
      <c r="A81" s="2418"/>
      <c r="B81" s="518"/>
      <c r="D81" s="672" t="s">
        <v>331</v>
      </c>
      <c r="E81" s="730" t="s">
        <v>942</v>
      </c>
      <c r="F81" s="667" t="s">
        <v>886</v>
      </c>
      <c r="G81" s="731"/>
      <c r="H81" s="1030"/>
      <c r="I81" s="731">
        <v>12</v>
      </c>
      <c r="J81" s="1030"/>
      <c r="K81" s="296"/>
      <c r="X81" s="765">
        <v>0</v>
      </c>
    </row>
    <row s="1642" customFormat="1" customHeight="1" ht="11.25">
      <c r="A82" s="2418"/>
      <c r="B82" s="518"/>
      <c r="D82" s="672" t="s">
        <v>333</v>
      </c>
      <c r="E82" s="730" t="s">
        <v>943</v>
      </c>
      <c r="F82" s="667" t="s">
        <v>886</v>
      </c>
      <c r="G82" s="731"/>
      <c r="H82" s="1030"/>
      <c r="I82" s="731">
        <v>12</v>
      </c>
      <c r="J82" s="1030"/>
      <c r="K82" s="296"/>
      <c r="X82" s="765">
        <v>0</v>
      </c>
    </row>
    <row s="1642" customFormat="1" customHeight="1" ht="11.25">
      <c r="A83" s="2418"/>
      <c r="B83" s="518"/>
      <c r="D83" s="672" t="s">
        <v>335</v>
      </c>
      <c r="E83" s="730" t="s">
        <v>944</v>
      </c>
      <c r="F83" s="667" t="s">
        <v>886</v>
      </c>
      <c r="G83" s="731"/>
      <c r="H83" s="1030"/>
      <c r="I83" s="731">
        <v>12</v>
      </c>
      <c r="J83" s="1030"/>
      <c r="K83" s="296"/>
      <c r="X83" s="765">
        <v>0</v>
      </c>
    </row>
    <row s="1642" customFormat="1" customHeight="1" ht="11.25">
      <c r="A84" s="2418"/>
      <c r="B84" s="518"/>
      <c r="D84" s="672" t="s">
        <v>945</v>
      </c>
      <c r="E84" s="730" t="s">
        <v>946</v>
      </c>
      <c r="F84" s="667" t="s">
        <v>886</v>
      </c>
      <c r="G84" s="731"/>
      <c r="H84" s="1030"/>
      <c r="I84" s="731">
        <v>12</v>
      </c>
      <c r="J84" s="1030"/>
      <c r="K84" s="296"/>
      <c r="X84" s="765">
        <v>0</v>
      </c>
    </row>
    <row s="1642" customFormat="1" customHeight="1" ht="11.25">
      <c r="A85" s="2418"/>
      <c r="B85" s="518"/>
      <c r="D85" s="672" t="s">
        <v>947</v>
      </c>
      <c r="E85" s="730" t="s">
        <v>948</v>
      </c>
      <c r="F85" s="667" t="s">
        <v>886</v>
      </c>
      <c r="G85" s="731"/>
      <c r="H85" s="1030"/>
      <c r="I85" s="731">
        <v>12</v>
      </c>
      <c r="J85" s="1030"/>
      <c r="K85" s="296"/>
      <c r="X85" s="765">
        <v>0</v>
      </c>
    </row>
    <row s="1642" customFormat="1" customHeight="1" ht="11.25">
      <c r="A86" s="2418"/>
      <c r="B86" s="518"/>
      <c r="D86" s="672" t="s">
        <v>949</v>
      </c>
      <c r="E86" s="730" t="s">
        <v>950</v>
      </c>
      <c r="F86" s="667" t="s">
        <v>886</v>
      </c>
      <c r="G86" s="731"/>
      <c r="H86" s="1030"/>
      <c r="I86" s="731">
        <v>21</v>
      </c>
      <c r="J86" s="1030"/>
      <c r="K86" s="296"/>
      <c r="X86" s="765">
        <v>0</v>
      </c>
    </row>
    <row s="1642" customFormat="1" customHeight="1" ht="45">
      <c r="A87" s="2418"/>
      <c r="B87" s="518"/>
      <c r="D87" s="672" t="s">
        <v>91</v>
      </c>
      <c r="E87" s="673" t="s">
        <v>951</v>
      </c>
      <c r="F87" s="667" t="s">
        <v>886</v>
      </c>
      <c r="G87" s="731"/>
      <c r="H87" s="1030"/>
      <c r="I87" s="731">
        <v>26</v>
      </c>
      <c r="J87" s="1030"/>
      <c r="K87" s="296" t="s">
        <v>952</v>
      </c>
      <c r="X87" s="765">
        <v>0</v>
      </c>
    </row>
    <row s="1642" customFormat="1" customHeight="1" ht="11.25">
      <c r="A88" s="2418"/>
      <c r="B88" s="518"/>
      <c r="D88" s="672" t="s">
        <v>769</v>
      </c>
      <c r="E88" s="730" t="s">
        <v>941</v>
      </c>
      <c r="F88" s="667" t="s">
        <v>886</v>
      </c>
      <c r="G88" s="731"/>
      <c r="H88" s="1030"/>
      <c r="I88" s="731">
        <v>0</v>
      </c>
      <c r="J88" s="1030"/>
      <c r="K88" s="296"/>
      <c r="X88" s="765">
        <v>0</v>
      </c>
    </row>
    <row s="1642" customFormat="1" customHeight="1" ht="11.25">
      <c r="A89" s="2418"/>
      <c r="B89" s="518"/>
      <c r="D89" s="672" t="s">
        <v>813</v>
      </c>
      <c r="E89" s="730" t="s">
        <v>942</v>
      </c>
      <c r="F89" s="667" t="s">
        <v>886</v>
      </c>
      <c r="G89" s="731"/>
      <c r="H89" s="1030"/>
      <c r="I89" s="731">
        <v>2</v>
      </c>
      <c r="J89" s="1030"/>
      <c r="K89" s="296"/>
      <c r="X89" s="765">
        <v>0</v>
      </c>
    </row>
    <row s="1642" customFormat="1" customHeight="1" ht="11.25">
      <c r="A90" s="2418"/>
      <c r="B90" s="518"/>
      <c r="D90" s="672" t="s">
        <v>816</v>
      </c>
      <c r="E90" s="730" t="s">
        <v>943</v>
      </c>
      <c r="F90" s="667" t="s">
        <v>886</v>
      </c>
      <c r="G90" s="731"/>
      <c r="H90" s="1030"/>
      <c r="I90" s="731">
        <v>4</v>
      </c>
      <c r="J90" s="1030"/>
      <c r="K90" s="296"/>
      <c r="X90" s="765">
        <v>0</v>
      </c>
    </row>
    <row s="1642" customFormat="1" customHeight="1" ht="11.25">
      <c r="A91" s="2418"/>
      <c r="B91" s="518"/>
      <c r="D91" s="672" t="s">
        <v>904</v>
      </c>
      <c r="E91" s="730" t="s">
        <v>944</v>
      </c>
      <c r="F91" s="667" t="s">
        <v>886</v>
      </c>
      <c r="G91" s="731"/>
      <c r="H91" s="1030"/>
      <c r="I91" s="731">
        <v>1</v>
      </c>
      <c r="J91" s="1030"/>
      <c r="K91" s="296"/>
      <c r="X91" s="765">
        <v>0</v>
      </c>
    </row>
    <row s="1642" customFormat="1" customHeight="1" ht="11.25">
      <c r="A92" s="2418"/>
      <c r="B92" s="518"/>
      <c r="D92" s="672" t="s">
        <v>906</v>
      </c>
      <c r="E92" s="730" t="s">
        <v>946</v>
      </c>
      <c r="F92" s="667" t="s">
        <v>886</v>
      </c>
      <c r="G92" s="731"/>
      <c r="H92" s="1030"/>
      <c r="I92" s="731">
        <v>12</v>
      </c>
      <c r="J92" s="1030"/>
      <c r="K92" s="296"/>
      <c r="X92" s="765">
        <v>0</v>
      </c>
    </row>
    <row s="1642" customFormat="1" customHeight="1" ht="11.25">
      <c r="A93" s="2418"/>
      <c r="B93" s="518"/>
      <c r="D93" s="672" t="s">
        <v>953</v>
      </c>
      <c r="E93" s="730" t="s">
        <v>948</v>
      </c>
      <c r="F93" s="667" t="s">
        <v>886</v>
      </c>
      <c r="G93" s="731"/>
      <c r="H93" s="1030"/>
      <c r="I93" s="731">
        <v>4</v>
      </c>
      <c r="J93" s="1030"/>
      <c r="K93" s="296"/>
      <c r="X93" s="765">
        <v>0</v>
      </c>
    </row>
    <row s="1642" customFormat="1" customHeight="1" ht="11.25">
      <c r="A94" s="2418"/>
      <c r="B94" s="518"/>
      <c r="D94" s="672" t="s">
        <v>954</v>
      </c>
      <c r="E94" s="730" t="s">
        <v>950</v>
      </c>
      <c r="F94" s="667" t="s">
        <v>886</v>
      </c>
      <c r="G94" s="731"/>
      <c r="H94" s="1030"/>
      <c r="I94" s="731">
        <v>3</v>
      </c>
      <c r="J94" s="1030"/>
      <c r="K94" s="296"/>
      <c r="X94" s="765">
        <v>0</v>
      </c>
    </row>
    <row s="1642" customFormat="1" customHeight="1" ht="24.75">
      <c r="A95" s="2418"/>
      <c r="B95" s="518"/>
      <c r="D95" s="672" t="s">
        <v>111</v>
      </c>
      <c r="E95" s="673" t="s">
        <v>955</v>
      </c>
      <c r="F95" s="732" t="s">
        <v>555</v>
      </c>
      <c r="G95" s="734"/>
      <c r="H95" s="1030"/>
      <c r="I95" s="734">
        <v>100</v>
      </c>
      <c r="J95" s="1030"/>
      <c r="K95" s="296" t="s">
        <v>956</v>
      </c>
      <c r="X95" s="765">
        <v>0</v>
      </c>
    </row>
    <row s="1642" customFormat="1" customHeight="1" ht="33.75">
      <c r="A96" s="2418"/>
      <c r="B96" s="518"/>
      <c r="D96" s="672" t="s">
        <v>92</v>
      </c>
      <c r="E96" s="673" t="s">
        <v>957</v>
      </c>
      <c r="F96" s="733" t="s">
        <v>847</v>
      </c>
      <c r="G96" s="735"/>
      <c r="H96" s="1030"/>
      <c r="I96" s="735">
        <v>20</v>
      </c>
      <c r="J96" s="1030"/>
      <c r="K96" s="296"/>
      <c r="X96" s="765">
        <v>0</v>
      </c>
    </row>
    <row s="1642" customFormat="1" customHeight="1" ht="22.5">
      <c r="A97" s="2418"/>
      <c r="B97" s="518" t="s">
        <v>589</v>
      </c>
      <c r="D97" s="672" t="s">
        <v>93</v>
      </c>
      <c r="E97" s="673" t="s">
        <v>958</v>
      </c>
      <c r="F97" s="733" t="s">
        <v>305</v>
      </c>
      <c r="G97" s="392"/>
      <c r="H97" s="1030"/>
      <c r="I97" s="2843" t="s">
        <v>959</v>
      </c>
      <c r="J97" s="1030"/>
      <c r="K97" s="296" t="s">
        <v>641</v>
      </c>
      <c r="X97" s="765">
        <v>0</v>
      </c>
    </row>
    <row s="1642" customFormat="1" customHeight="1" ht="45">
      <c r="A98" s="2418"/>
      <c r="B98" s="518" t="s">
        <v>589</v>
      </c>
      <c r="D98" s="672" t="s">
        <v>825</v>
      </c>
      <c r="E98" s="674" t="s">
        <v>960</v>
      </c>
      <c r="F98" s="728" t="s">
        <v>305</v>
      </c>
      <c r="G98" s="392"/>
      <c r="H98" s="1030"/>
      <c r="I98" s="2843" t="s">
        <v>959</v>
      </c>
      <c r="J98" s="1030"/>
      <c r="K98" s="296" t="s">
        <v>641</v>
      </c>
      <c r="X98" s="765">
        <v>0</v>
      </c>
    </row>
    <row s="1642" customFormat="1" customHeight="1" ht="95.25">
      <c r="A99" s="2418"/>
      <c r="B99" s="518" t="s">
        <v>589</v>
      </c>
      <c r="D99" s="672" t="s">
        <v>112</v>
      </c>
      <c r="E99" s="673" t="s">
        <v>961</v>
      </c>
      <c r="F99" s="728" t="s">
        <v>305</v>
      </c>
      <c r="G99" s="392"/>
      <c r="H99" s="1030"/>
      <c r="I99" s="392" t="s">
        <v>19</v>
      </c>
      <c r="J99" s="1030"/>
      <c r="K99" s="296" t="s">
        <v>641</v>
      </c>
      <c r="X99" s="765">
        <v>0</v>
      </c>
    </row>
    <row s="1642" customFormat="1" customHeight="1" ht="22.5">
      <c r="A100" s="2418"/>
      <c r="B100" s="518" t="s">
        <v>589</v>
      </c>
      <c r="D100" s="672" t="s">
        <v>149</v>
      </c>
      <c r="E100" s="673" t="s">
        <v>962</v>
      </c>
      <c r="F100" s="728" t="s">
        <v>305</v>
      </c>
      <c r="G100" s="392"/>
      <c r="H100" s="1030"/>
      <c r="I100" s="2843" t="s">
        <v>963</v>
      </c>
      <c r="J100" s="1030"/>
      <c r="K100" s="296" t="s">
        <v>641</v>
      </c>
      <c r="X100" s="765">
        <v>0</v>
      </c>
    </row>
    <row s="1642" customFormat="1" customHeight="1" ht="11.549999999999999">
      <c r="A101" s="1040"/>
      <c r="B101" s="525"/>
      <c r="D101" s="1041"/>
      <c r="E101" s="1042"/>
      <c r="X101" s="516">
        <v>11</v>
      </c>
    </row>
    <row customHeight="1" ht="22.5" hidden="1">
      <c r="A102" s="543" t="s">
        <v>82</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xr:uid="{059EFB98-DEF6-3AD8-BD35-A738D7EB680B}"/>
    <hyperlink ref="I98" r:id="rId2" xr:uid="{9ABF548B-0344-22F6-486D-C682C08A2871}"/>
    <hyperlink ref="I99" r:id="rId3" tooltip="Кликните по гиперссылке, чтобы перейти по ней или отредактировать её" xr:uid="{41FCA013-B8EA-E612-B45E-8E1B38843155}"/>
    <hyperlink ref="I100" r:id="rId4" xr:uid="{176257DE-2FF4-9464-E43F-00E7885C437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F4B7C-E36F-BACB-E1CE-67051FBF825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4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6"/>
      <c r="F4" s="2146"/>
      <c r="G4" s="2146"/>
      <c r="H4" s="2146"/>
      <c r="I4" s="2147"/>
      <c r="J4" s="591"/>
      <c r="K4" s="591"/>
      <c r="L4" s="591"/>
      <c r="M4" s="591"/>
      <c r="AM4" s="590">
        <v>34</v>
      </c>
    </row>
    <row s="596" customFormat="1" customHeight="1" ht="14.699999999999998">
      <c r="A5" s="592"/>
      <c r="B5" s="592"/>
      <c r="C5" s="592"/>
      <c r="D5" s="2148" t="str">
        <f>IF(org=0,"Не определено",org)</f>
        <v>Общество с ограниченной ответственностью "Сигнал", г. Серов</v>
      </c>
      <c r="E5" s="2149"/>
      <c r="F5" s="2149"/>
      <c r="G5" s="2149"/>
      <c r="H5" s="2149"/>
      <c r="I5" s="2150"/>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51"/>
      <c r="B6" s="2151"/>
      <c r="C6" s="2151"/>
      <c r="D6" s="2151"/>
      <c r="E6" s="2151"/>
      <c r="F6" s="2151"/>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52"/>
      <c r="B9" s="330"/>
      <c r="C9" s="330"/>
      <c r="D9" s="2153" t="s">
        <v>105</v>
      </c>
      <c r="E9" s="2153"/>
      <c r="F9" s="2154" t="s">
        <v>106</v>
      </c>
      <c r="G9" s="2155"/>
      <c r="H9" s="2155"/>
      <c r="I9" s="2155"/>
      <c r="J9" s="2158" t="s">
        <v>107</v>
      </c>
      <c r="K9" s="2158"/>
      <c r="L9" s="2158"/>
      <c r="M9" s="2158"/>
      <c r="AM9" s="590">
        <v>18</v>
      </c>
    </row>
    <row customHeight="1" ht="24">
      <c r="A10" s="2152"/>
      <c r="B10" s="599"/>
      <c r="C10" s="532"/>
      <c r="D10" s="530" t="s">
        <v>88</v>
      </c>
      <c r="E10" s="530" t="s">
        <v>89</v>
      </c>
      <c r="F10" s="530" t="s">
        <v>108</v>
      </c>
      <c r="G10" s="2159" t="s">
        <v>88</v>
      </c>
      <c r="H10" s="2160"/>
      <c r="I10" s="530" t="s">
        <v>89</v>
      </c>
      <c r="J10" s="530" t="s">
        <v>108</v>
      </c>
      <c r="K10" s="2159" t="s">
        <v>88</v>
      </c>
      <c r="L10" s="2160"/>
      <c r="M10" s="530" t="s">
        <v>89</v>
      </c>
      <c r="N10" s="1634"/>
      <c r="AM10" s="590">
        <v>23</v>
      </c>
    </row>
    <row s="1857" customFormat="1" customHeight="1" ht="11.25" hidden="1">
      <c r="A11" s="600"/>
      <c r="B11" s="600"/>
      <c r="C11" s="600"/>
      <c r="D11" s="601" t="s">
        <v>109</v>
      </c>
      <c r="E11" s="601" t="s">
        <v>110</v>
      </c>
      <c r="F11" s="601" t="s">
        <v>90</v>
      </c>
      <c r="G11" s="2141" t="s">
        <v>91</v>
      </c>
      <c r="H11" s="2142"/>
      <c r="I11" s="601" t="s">
        <v>111</v>
      </c>
      <c r="J11" s="601" t="s">
        <v>92</v>
      </c>
      <c r="K11" s="2143" t="s">
        <v>93</v>
      </c>
      <c r="L11" s="2144"/>
      <c r="M11" s="601" t="s">
        <v>112</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113</v>
      </c>
      <c r="P12" s="1420" t="s">
        <v>114</v>
      </c>
      <c r="Q12" s="1420" t="s">
        <v>115</v>
      </c>
      <c r="R12" s="1420" t="s">
        <v>116</v>
      </c>
      <c r="AM12" s="590">
        <v>1</v>
      </c>
    </row>
    <row s="1857" customFormat="1" customHeight="1" ht="15.75">
      <c r="A13" s="300"/>
      <c r="B13" s="300"/>
      <c r="C13" s="533"/>
      <c r="D13" s="2134" t="s">
        <v>109</v>
      </c>
      <c r="E13" s="2135" t="str">
        <f>INDEX(VD_NAME_LIST,MATCH("4189714",VD_ID_LIST,0))</f>
        <v>Водоотведение</v>
      </c>
      <c r="F13" s="2138" t="s">
        <v>65</v>
      </c>
      <c r="G13" s="2139"/>
      <c r="H13" s="2140">
        <v>1</v>
      </c>
      <c r="I13" s="2131" t="str">
        <f>IF(U13="","",INDEX(TERRITORY_MR_LIST,MATCH(U13,TERRITORY_LIST_ID,0)))</f>
        <v>Территория 1</v>
      </c>
      <c r="J13" s="2133" t="s">
        <v>19</v>
      </c>
      <c r="K13" s="609"/>
      <c r="L13" s="534" t="s">
        <v>109</v>
      </c>
      <c r="M13" s="610" t="s">
        <v>22</v>
      </c>
      <c r="N13" s="819"/>
      <c r="O13" s="1423" t="s">
        <v>117</v>
      </c>
      <c r="P13" s="1420" t="str">
        <f>$E$13</f>
        <v>Водоотведение</v>
      </c>
      <c r="Q13" s="1420" t="str">
        <f>IF($F$13="нет","без дифференциации",$I$13)</f>
        <v>Территория 1</v>
      </c>
      <c r="R13" s="1420" t="str">
        <f>IF($J$13="нет","без дифференциации",M13)</f>
        <v>без дифференциации</v>
      </c>
      <c r="S13" s="1423"/>
      <c r="T13" s="1423"/>
      <c r="U13" s="1273" t="s">
        <v>98</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34"/>
      <c r="E14" s="2136"/>
      <c r="F14" s="2133"/>
      <c r="G14" s="2139"/>
      <c r="H14" s="2140"/>
      <c r="I14" s="2132"/>
      <c r="J14" s="2133"/>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34"/>
      <c r="E15" s="2137"/>
      <c r="F15" s="2133"/>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22</v>
      </c>
      <c r="L16" s="184"/>
      <c r="M16" s="615"/>
      <c r="N16" s="1634"/>
      <c r="AM16" s="590">
        <v>15</v>
      </c>
    </row>
    <row customHeight="1" ht="11.25" hidden="1">
      <c r="A17" s="590" t="s">
        <v>82</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90F1B-CA18-EE1B-F522-12A7A283752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23"/>
      <c r="C3" s="2424" t="s">
        <v>574</v>
      </c>
      <c r="D3" s="696" t="str">
        <f>B3&amp;".1"</f>
        <v>.1</v>
      </c>
      <c r="E3" s="697" t="s">
        <v>964</v>
      </c>
      <c r="F3" s="698" t="s">
        <v>305</v>
      </c>
      <c r="G3" s="693"/>
      <c r="H3" s="408"/>
      <c r="I3" s="693"/>
      <c r="J3" s="408"/>
      <c r="K3" s="296" t="s">
        <v>965</v>
      </c>
      <c r="V3" s="512">
        <v>0</v>
      </c>
    </row>
    <row customHeight="1" ht="15" hidden="1">
      <c r="A4" s="512"/>
      <c r="B4" s="2423"/>
      <c r="C4" s="2424"/>
      <c r="D4" s="696" t="str">
        <f>B3&amp;".2"</f>
        <v>.2</v>
      </c>
      <c r="E4" s="697" t="s">
        <v>966</v>
      </c>
      <c r="F4" s="698" t="s">
        <v>305</v>
      </c>
      <c r="G4" s="1744" t="s">
        <v>22</v>
      </c>
      <c r="H4" s="408"/>
      <c r="I4" s="1744" t="s">
        <v>22</v>
      </c>
      <c r="J4" s="408"/>
      <c r="K4" s="296" t="s">
        <v>967</v>
      </c>
      <c r="V4" s="512">
        <v>0</v>
      </c>
    </row>
    <row s="1373" customFormat="1" customHeight="1" ht="15" hidden="1">
      <c r="C5" s="679"/>
      <c r="U5" s="427"/>
      <c r="V5" s="424">
        <v>0</v>
      </c>
    </row>
    <row customHeight="1" ht="22.5" hidden="1">
      <c r="A6" s="512"/>
      <c r="B6" s="2423"/>
      <c r="C6" s="2424" t="s">
        <v>574</v>
      </c>
      <c r="D6" s="696" t="str">
        <f>B6&amp;".1"</f>
        <v>.1</v>
      </c>
      <c r="E6" s="697" t="s">
        <v>968</v>
      </c>
      <c r="F6" s="698" t="s">
        <v>305</v>
      </c>
      <c r="G6" s="693"/>
      <c r="H6" s="408"/>
      <c r="I6" s="693"/>
      <c r="J6" s="408"/>
      <c r="K6" s="296" t="s">
        <v>969</v>
      </c>
      <c r="V6" s="512">
        <v>0</v>
      </c>
    </row>
    <row customHeight="1" ht="15" hidden="1">
      <c r="A7" s="512"/>
      <c r="B7" s="2423"/>
      <c r="C7" s="2424"/>
      <c r="D7" s="696" t="str">
        <f>B6&amp;".2"</f>
        <v>.2</v>
      </c>
      <c r="E7" s="697" t="s">
        <v>966</v>
      </c>
      <c r="F7" s="698" t="s">
        <v>305</v>
      </c>
      <c r="G7" s="1744" t="s">
        <v>22</v>
      </c>
      <c r="H7" s="408"/>
      <c r="I7" s="1744" t="s">
        <v>22</v>
      </c>
      <c r="J7" s="408"/>
      <c r="K7" s="296" t="s">
        <v>967</v>
      </c>
      <c r="V7" s="512">
        <v>0</v>
      </c>
    </row>
    <row s="1373" customFormat="1" customHeight="1" ht="15" hidden="1">
      <c r="C8" s="679"/>
      <c r="U8" s="427"/>
      <c r="V8" s="424">
        <v>0</v>
      </c>
    </row>
    <row customHeight="1" ht="22.5" hidden="1">
      <c r="A9" s="512"/>
      <c r="B9" s="2423"/>
      <c r="C9" s="2424" t="s">
        <v>574</v>
      </c>
      <c r="D9" s="696" t="str">
        <f>B9&amp;".1"</f>
        <v>.1</v>
      </c>
      <c r="E9" s="697" t="s">
        <v>970</v>
      </c>
      <c r="F9" s="698" t="s">
        <v>305</v>
      </c>
      <c r="G9" s="704" t="s">
        <v>22</v>
      </c>
      <c r="H9" s="408" t="s">
        <v>22</v>
      </c>
      <c r="I9" s="704" t="s">
        <v>22</v>
      </c>
      <c r="J9" s="408" t="s">
        <v>22</v>
      </c>
      <c r="K9" s="296"/>
      <c r="V9" s="512">
        <v>0</v>
      </c>
    </row>
    <row customHeight="1" ht="15" hidden="1">
      <c r="A10" s="512"/>
      <c r="B10" s="2423"/>
      <c r="C10" s="2424"/>
      <c r="D10" s="696" t="str">
        <f>B9&amp;".2"</f>
        <v>.2</v>
      </c>
      <c r="E10" s="697" t="s">
        <v>971</v>
      </c>
      <c r="F10" s="698" t="s">
        <v>305</v>
      </c>
      <c r="G10" s="1738" t="s">
        <v>22</v>
      </c>
      <c r="H10" s="408" t="s">
        <v>22</v>
      </c>
      <c r="I10" s="1738" t="s">
        <v>22</v>
      </c>
      <c r="J10" s="408" t="s">
        <v>22</v>
      </c>
      <c r="K10" s="296" t="s">
        <v>972</v>
      </c>
      <c r="V10" s="512">
        <v>0</v>
      </c>
    </row>
    <row customHeight="1" ht="15" hidden="1">
      <c r="A11" s="512"/>
      <c r="B11" s="2423"/>
      <c r="C11" s="2424"/>
      <c r="D11" s="696" t="str">
        <f>B9&amp;".3"</f>
        <v>.3</v>
      </c>
      <c r="E11" s="697" t="s">
        <v>973</v>
      </c>
      <c r="F11" s="698" t="s">
        <v>305</v>
      </c>
      <c r="G11" s="1738" t="s">
        <v>22</v>
      </c>
      <c r="H11" s="408" t="s">
        <v>22</v>
      </c>
      <c r="I11" s="1738" t="s">
        <v>22</v>
      </c>
      <c r="J11" s="408" t="s">
        <v>22</v>
      </c>
      <c r="K11" s="296" t="s">
        <v>974</v>
      </c>
      <c r="V11" s="512">
        <v>0</v>
      </c>
    </row>
    <row s="1373" customFormat="1" customHeight="1" ht="15" hidden="1">
      <c r="C12" s="679"/>
      <c r="U12" s="427"/>
      <c r="V12" s="424">
        <v>0</v>
      </c>
    </row>
    <row customHeight="1" ht="33.75" hidden="1">
      <c r="A13" s="512"/>
      <c r="B13" s="2423"/>
      <c r="C13" s="2424" t="s">
        <v>574</v>
      </c>
      <c r="D13" s="696" t="str">
        <f>B13&amp;".1"</f>
        <v>.1</v>
      </c>
      <c r="E13" s="697" t="s">
        <v>975</v>
      </c>
      <c r="F13" s="698" t="s">
        <v>305</v>
      </c>
      <c r="G13" s="704" t="s">
        <v>22</v>
      </c>
      <c r="H13" s="408" t="s">
        <v>22</v>
      </c>
      <c r="I13" s="704" t="s">
        <v>22</v>
      </c>
      <c r="J13" s="408" t="s">
        <v>22</v>
      </c>
      <c r="K13" s="296" t="s">
        <v>976</v>
      </c>
      <c r="V13" s="512">
        <v>0</v>
      </c>
    </row>
    <row customHeight="1" ht="15" hidden="1">
      <c r="B14" s="2423"/>
      <c r="C14" s="2424"/>
      <c r="D14" s="696" t="str">
        <f>B13&amp;".2"</f>
        <v>.2</v>
      </c>
      <c r="E14" s="697" t="s">
        <v>977</v>
      </c>
      <c r="F14" s="698" t="s">
        <v>305</v>
      </c>
      <c r="G14" s="1738" t="s">
        <v>22</v>
      </c>
      <c r="H14" s="408" t="s">
        <v>22</v>
      </c>
      <c r="I14" s="1738" t="s">
        <v>22</v>
      </c>
      <c r="J14" s="408" t="s">
        <v>22</v>
      </c>
      <c r="K14" s="296" t="s">
        <v>978</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683"/>
      <c r="K22" s="544"/>
      <c r="V22" s="512">
        <v>22</v>
      </c>
    </row>
    <row customHeight="1" ht="15.75">
      <c r="C23" s="183"/>
      <c r="D23" s="2202" t="str">
        <f>IF(org=0,"Не определено",org)</f>
        <v>Общество с ограниченной ответственностью "Сигнал", г. Серов</v>
      </c>
      <c r="E23" s="2202"/>
      <c r="F23" s="2202"/>
      <c r="G23" s="2202"/>
      <c r="H23" s="2202"/>
      <c r="I23" s="2202"/>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117</v>
      </c>
      <c r="J25" s="759"/>
      <c r="K25" s="424"/>
      <c r="U25" s="682"/>
      <c r="V25" s="765">
        <v>1</v>
      </c>
    </row>
    <row customHeight="1" ht="15.75">
      <c r="C26" s="183"/>
      <c r="D26" s="718"/>
      <c r="E26" s="2393" t="s">
        <v>105</v>
      </c>
      <c r="F26" s="2394"/>
      <c r="G26" s="2421" t="str">
        <f>IF(G25="","",INDEX(DIFFERENTIATION_UNMERGE_VD,MATCH(G25,DIFFERENTIATION_ID_DIFF,0)))</f>
        <v/>
      </c>
      <c r="H26" s="2422"/>
      <c r="I26" s="2421" t="str">
        <f>IF(I25="","",INDEX(DIFFERENTIATION_UNMERGE_VD,MATCH(I25,DIFFERENTIATION_ID_DIFF,0)))</f>
        <v>Водоотведение</v>
      </c>
      <c r="J26" s="2422"/>
      <c r="K26" s="2201" t="s">
        <v>300</v>
      </c>
      <c r="V26" s="512">
        <v>15</v>
      </c>
    </row>
    <row s="1642" customFormat="1" customHeight="1" ht="15.75">
      <c r="A27" s="766"/>
      <c r="C27" s="183"/>
      <c r="D27" s="718"/>
      <c r="E27" s="2393" t="s">
        <v>561</v>
      </c>
      <c r="F27" s="2394"/>
      <c r="G27" s="2421" t="str">
        <f>IF(G25="","",INDEX(DIFFERENTIATION_UNMERGE_AREA,MATCH(G25,DIFFERENTIATION_ID_DIFF,0)))</f>
        <v/>
      </c>
      <c r="H27" s="2422"/>
      <c r="I27" s="2421" t="str">
        <f>IF(I25="","",INDEX(DIFFERENTIATION_UNMERGE_AREA,MATCH(I25,DIFFERENTIATION_ID_DIFF,0)))</f>
        <v>Территория 1</v>
      </c>
      <c r="J27" s="2422"/>
      <c r="K27" s="2221"/>
      <c r="U27" s="682"/>
      <c r="V27" s="765">
        <v>15</v>
      </c>
    </row>
    <row s="1642" customFormat="1" customHeight="1" ht="15.75">
      <c r="A28" s="766"/>
      <c r="C28" s="183"/>
      <c r="D28" s="718"/>
      <c r="E28" s="2393" t="s">
        <v>562</v>
      </c>
      <c r="F28" s="2394"/>
      <c r="G28" s="2421" t="str">
        <f>IF(G25="","",INDEX(DIFFERENTIATION_UNMERGE_SYSTEM,MATCH(G25,DIFFERENTIATION_ID_DIFF,0)))</f>
        <v/>
      </c>
      <c r="H28" s="2422"/>
      <c r="I28" s="2421" t="str">
        <f>IF(I25="","",INDEX(DIFFERENTIATION_UNMERGE_SYSTEM,MATCH(I25,DIFFERENTIATION_ID_DIFF,0)))</f>
        <v>без дифференциации</v>
      </c>
      <c r="J28" s="2422"/>
      <c r="K28" s="2221"/>
      <c r="U28" s="682"/>
      <c r="V28" s="765">
        <v>15</v>
      </c>
    </row>
    <row s="1642" customFormat="1" customHeight="1" ht="15.75">
      <c r="A29" s="766"/>
      <c r="C29" s="183"/>
      <c r="D29" s="2395" t="s">
        <v>299</v>
      </c>
      <c r="E29" s="2396"/>
      <c r="F29" s="2396"/>
      <c r="G29" s="894"/>
      <c r="H29" s="894"/>
      <c r="I29" s="894"/>
      <c r="J29" s="895"/>
      <c r="K29" s="2221"/>
      <c r="U29" s="682"/>
      <c r="V29" s="765">
        <v>15</v>
      </c>
    </row>
    <row customHeight="1" ht="35.699999999999996">
      <c r="C30" s="183"/>
      <c r="D30" s="768" t="s">
        <v>88</v>
      </c>
      <c r="E30" s="767" t="s">
        <v>301</v>
      </c>
      <c r="F30" s="767" t="s">
        <v>563</v>
      </c>
      <c r="G30" s="815" t="s">
        <v>302</v>
      </c>
      <c r="H30" s="814" t="s">
        <v>389</v>
      </c>
      <c r="I30" s="691" t="s">
        <v>302</v>
      </c>
      <c r="J30" s="472" t="s">
        <v>389</v>
      </c>
      <c r="K30" s="2227"/>
      <c r="V30" s="512">
        <v>34</v>
      </c>
    </row>
    <row customHeight="1" ht="15" hidden="1">
      <c r="C31" s="183"/>
      <c r="D31" s="600"/>
      <c r="E31" s="600"/>
      <c r="F31" s="600"/>
      <c r="G31" s="666"/>
      <c r="H31" s="666"/>
      <c r="I31" s="666"/>
      <c r="J31" s="666"/>
      <c r="K31" s="296"/>
      <c r="V31" s="512">
        <v>0</v>
      </c>
    </row>
    <row customHeight="1" ht="24">
      <c r="A32" s="512"/>
      <c r="B32" s="512" t="s">
        <v>979</v>
      </c>
      <c r="C32" s="533"/>
      <c r="D32" s="699">
        <v>1</v>
      </c>
      <c r="E32" s="700" t="s">
        <v>980</v>
      </c>
      <c r="F32" s="698" t="s">
        <v>305</v>
      </c>
      <c r="G32" s="820" t="s">
        <v>305</v>
      </c>
      <c r="H32" s="820" t="s">
        <v>305</v>
      </c>
      <c r="I32" s="698" t="s">
        <v>305</v>
      </c>
      <c r="J32" s="698" t="s">
        <v>305</v>
      </c>
      <c r="K32" s="296"/>
      <c r="V32" s="512">
        <v>23</v>
      </c>
    </row>
    <row customHeight="1" ht="11.549999999999999">
      <c r="A33" s="512"/>
      <c r="C33" s="512"/>
      <c r="D33" s="354"/>
      <c r="E33" s="587" t="s">
        <v>597</v>
      </c>
      <c r="F33" s="579"/>
      <c r="G33" s="579"/>
      <c r="H33" s="579"/>
      <c r="I33" s="579"/>
      <c r="J33" s="579"/>
      <c r="K33" s="580"/>
      <c r="U33" s="512"/>
      <c r="V33" s="512">
        <v>11</v>
      </c>
    </row>
    <row customHeight="1" ht="24">
      <c r="A34" s="512"/>
      <c r="B34" s="588" t="s">
        <v>646</v>
      </c>
      <c r="C34" s="533"/>
      <c r="D34" s="699">
        <v>2</v>
      </c>
      <c r="E34" s="700" t="s">
        <v>981</v>
      </c>
      <c r="F34" s="827" t="s">
        <v>305</v>
      </c>
      <c r="G34" s="827" t="s">
        <v>305</v>
      </c>
      <c r="H34" s="827" t="s">
        <v>305</v>
      </c>
      <c r="I34" s="698"/>
      <c r="J34" s="698"/>
      <c r="K34" s="296"/>
      <c r="V34" s="512">
        <v>23</v>
      </c>
    </row>
    <row customHeight="1" ht="11.549999999999999">
      <c r="A35" s="512"/>
      <c r="C35" s="512"/>
      <c r="D35" s="354"/>
      <c r="E35" s="587" t="s">
        <v>982</v>
      </c>
      <c r="F35" s="579"/>
      <c r="G35" s="701"/>
      <c r="H35" s="579"/>
      <c r="I35" s="701"/>
      <c r="J35" s="579"/>
      <c r="K35" s="580"/>
      <c r="U35" s="512"/>
      <c r="V35" s="512">
        <v>11</v>
      </c>
    </row>
    <row customHeight="1" ht="71.25">
      <c r="A36" s="512"/>
      <c r="B36" s="512" t="s">
        <v>983</v>
      </c>
      <c r="C36" s="533"/>
      <c r="D36" s="699">
        <v>3</v>
      </c>
      <c r="E36" s="700" t="s">
        <v>984</v>
      </c>
      <c r="F36" s="702" t="s">
        <v>305</v>
      </c>
      <c r="G36" s="821" t="s">
        <v>985</v>
      </c>
      <c r="H36" s="820" t="s">
        <v>305</v>
      </c>
      <c r="I36" s="531" t="s">
        <v>985</v>
      </c>
      <c r="J36" s="698" t="s">
        <v>305</v>
      </c>
      <c r="K36" s="296" t="s">
        <v>986</v>
      </c>
      <c r="V36" s="512">
        <v>68</v>
      </c>
    </row>
    <row customHeight="1" ht="11.549999999999999">
      <c r="A37" s="512"/>
      <c r="C37" s="512"/>
      <c r="D37" s="354"/>
      <c r="E37" s="587" t="s">
        <v>987</v>
      </c>
      <c r="F37" s="579"/>
      <c r="G37" s="701"/>
      <c r="H37" s="701"/>
      <c r="I37" s="701"/>
      <c r="J37" s="701"/>
      <c r="K37" s="580"/>
      <c r="U37" s="512"/>
      <c r="V37" s="512">
        <v>11</v>
      </c>
    </row>
    <row customHeight="1" ht="71.25">
      <c r="A38" s="512"/>
      <c r="B38" s="512" t="s">
        <v>988</v>
      </c>
      <c r="C38" s="533"/>
      <c r="D38" s="699">
        <v>4</v>
      </c>
      <c r="E38" s="700" t="s">
        <v>989</v>
      </c>
      <c r="F38" s="702" t="s">
        <v>305</v>
      </c>
      <c r="G38" s="821" t="s">
        <v>985</v>
      </c>
      <c r="H38" s="822" t="s">
        <v>305</v>
      </c>
      <c r="I38" s="531" t="s">
        <v>985</v>
      </c>
      <c r="J38" s="528" t="s">
        <v>305</v>
      </c>
      <c r="K38" s="686" t="s">
        <v>990</v>
      </c>
      <c r="V38" s="512">
        <v>68</v>
      </c>
    </row>
    <row customHeight="1" ht="11.549999999999999">
      <c r="A39" s="512"/>
      <c r="C39" s="512"/>
      <c r="D39" s="354"/>
      <c r="E39" s="587" t="s">
        <v>991</v>
      </c>
      <c r="F39" s="579"/>
      <c r="G39" s="579"/>
      <c r="H39" s="703"/>
      <c r="I39" s="579"/>
      <c r="J39" s="703"/>
      <c r="K39" s="580"/>
      <c r="U39" s="512"/>
      <c r="V39" s="512">
        <v>11</v>
      </c>
    </row>
    <row customHeight="1" ht="22.5" hidden="1">
      <c r="A40" s="456" t="s">
        <v>82</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A3A57-FFFC-343C-34DE-B49339182F4A}" mc:Ignorable="x14ac xr xr2 xr3">
  <sheetPr>
    <tabColor theme="9" tint="-0.25"/>
  </sheetPr>
  <dimension ref="A1:AE18"/>
  <sheetViews>
    <sheetView showGridLines="0" zoomScale="85" workbookViewId="0">
      <pane xSplit="7" ySplit="10" topLeftCell="Q13" activePane="bottomRight" state="frozen"/>
      <selection pane="bottomLeft" activeCell="A11" sqref="A11"/>
      <selection pane="topRight" activeCell="H1" sqref="H1"/>
      <selection pane="bottomRight" activeCell="AB14" sqref="AB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992</v>
      </c>
      <c r="H3" s="1163"/>
      <c r="AE3" s="766">
        <v>0</v>
      </c>
    </row>
    <row customHeight="1" ht="3">
      <c r="AE4" s="765">
        <v>3</v>
      </c>
    </row>
    <row customHeight="1" ht="27.299999999999997">
      <c r="F5" s="2274" t="str">
        <f>IP_NAME_FORM</f>
        <v>Форма 7. Информация об инвестиционных программах организации водоотведения и отчетах об их исполнении</v>
      </c>
      <c r="G5" s="2274"/>
      <c r="H5" s="2274"/>
      <c r="I5" s="2274"/>
      <c r="J5" s="2274"/>
      <c r="K5" s="2274"/>
      <c r="M5" s="589"/>
      <c r="AB5" s="913"/>
      <c r="AE5" s="765">
        <v>26</v>
      </c>
    </row>
    <row s="1642" customFormat="1" customHeight="1" ht="16.8">
      <c r="A6" s="1173"/>
      <c r="B6" s="1173"/>
      <c r="C6" s="1173"/>
      <c r="D6" s="1167"/>
      <c r="E6" s="1642"/>
      <c r="F6" s="2275" t="str">
        <f>IF(org=0,"Не определено",org)</f>
        <v>Общество с ограниченной ответственностью "Сигнал", г. Серов</v>
      </c>
      <c r="G6" s="2275"/>
      <c r="H6" s="2275"/>
      <c r="I6" s="2275"/>
      <c r="J6" s="2275"/>
      <c r="K6" s="2275"/>
      <c r="M6" s="589"/>
      <c r="AB6" s="1155"/>
      <c r="AE6" s="1638">
        <v>16</v>
      </c>
    </row>
    <row customHeight="1" ht="10.5">
      <c r="AE7" s="765">
        <v>10</v>
      </c>
    </row>
    <row customHeight="1" ht="10.5">
      <c r="A8" s="1058"/>
      <c r="B8" s="1058"/>
      <c r="C8" s="1058"/>
      <c r="F8" s="2127" t="s">
        <v>299</v>
      </c>
      <c r="G8" s="2128"/>
      <c r="H8" s="2128"/>
      <c r="I8" s="2128"/>
      <c r="J8" s="2128"/>
      <c r="K8" s="2128"/>
      <c r="L8" s="2128"/>
      <c r="M8" s="2128"/>
      <c r="N8" s="2128"/>
      <c r="O8" s="2128"/>
      <c r="P8" s="2128"/>
      <c r="Q8" s="2128"/>
      <c r="R8" s="2128"/>
      <c r="S8" s="2128"/>
      <c r="T8" s="2128"/>
      <c r="U8" s="2128"/>
      <c r="V8" s="2128"/>
      <c r="W8" s="2128"/>
      <c r="X8" s="2128"/>
      <c r="Y8" s="2128"/>
      <c r="Z8" s="2128"/>
      <c r="AA8" s="2128"/>
      <c r="AB8" s="2129"/>
      <c r="AE8" s="765">
        <v>10</v>
      </c>
    </row>
    <row customHeight="1" ht="43.050000000000004">
      <c r="A9" s="912"/>
      <c r="B9" s="912"/>
      <c r="C9" s="912"/>
      <c r="F9" s="2153" t="s">
        <v>88</v>
      </c>
      <c r="G9" s="2153" t="s">
        <v>992</v>
      </c>
      <c r="H9" s="2201" t="s">
        <v>993</v>
      </c>
      <c r="I9" s="2153" t="s">
        <v>994</v>
      </c>
      <c r="J9" s="2153" t="s">
        <v>995</v>
      </c>
      <c r="K9" s="2153" t="s">
        <v>996</v>
      </c>
      <c r="L9" s="2153" t="s">
        <v>997</v>
      </c>
      <c r="M9" s="2153" t="s">
        <v>998</v>
      </c>
      <c r="N9" s="2235" t="s">
        <v>999</v>
      </c>
      <c r="O9" s="2235"/>
      <c r="P9" s="2235"/>
      <c r="Q9" s="2425" t="s">
        <v>1000</v>
      </c>
      <c r="R9" s="2426"/>
      <c r="S9" s="2426"/>
      <c r="T9" s="2427"/>
      <c r="U9" s="2425" t="s">
        <v>1001</v>
      </c>
      <c r="V9" s="2426"/>
      <c r="W9" s="2426"/>
      <c r="X9" s="2427"/>
      <c r="Y9" s="2127" t="s">
        <v>1002</v>
      </c>
      <c r="Z9" s="2128"/>
      <c r="AA9" s="2128"/>
      <c r="AB9" s="2129"/>
      <c r="AE9" s="765">
        <v>41</v>
      </c>
    </row>
    <row customHeight="1" ht="43.050000000000004">
      <c r="A10" s="912"/>
      <c r="B10" s="912"/>
      <c r="C10" s="912"/>
      <c r="F10" s="2201"/>
      <c r="G10" s="2201"/>
      <c r="H10" s="2258"/>
      <c r="I10" s="2201"/>
      <c r="J10" s="2201"/>
      <c r="K10" s="2201"/>
      <c r="L10" s="2201"/>
      <c r="M10" s="2201"/>
      <c r="N10" s="910" t="s">
        <v>1003</v>
      </c>
      <c r="O10" s="910" t="s">
        <v>1004</v>
      </c>
      <c r="P10" s="911" t="s">
        <v>1005</v>
      </c>
      <c r="Q10" s="922" t="s">
        <v>89</v>
      </c>
      <c r="R10" s="922" t="s">
        <v>1006</v>
      </c>
      <c r="S10" s="922" t="s">
        <v>1007</v>
      </c>
      <c r="T10" s="923" t="s">
        <v>1008</v>
      </c>
      <c r="U10" s="922" t="s">
        <v>89</v>
      </c>
      <c r="V10" s="922" t="s">
        <v>1009</v>
      </c>
      <c r="W10" s="922" t="s">
        <v>1007</v>
      </c>
      <c r="X10" s="923" t="s">
        <v>1008</v>
      </c>
      <c r="Y10" s="308" t="s">
        <v>1010</v>
      </c>
      <c r="Z10" s="2127" t="s">
        <v>88</v>
      </c>
      <c r="AA10" s="2129"/>
      <c r="AB10" s="1056" t="s">
        <v>1011</v>
      </c>
      <c r="AE10" s="765">
        <v>41</v>
      </c>
    </row>
    <row s="1649" customFormat="1" customHeight="1" ht="5.25" hidden="1">
      <c r="A11" s="1059"/>
      <c r="B11" s="1059"/>
      <c r="C11" s="1059"/>
      <c r="E11" s="1057"/>
      <c r="F11" s="2432" t="s">
        <v>375</v>
      </c>
      <c r="G11" s="2429"/>
      <c r="H11" s="2428"/>
      <c r="I11" s="2428"/>
      <c r="J11" s="2428"/>
      <c r="K11" s="2430"/>
      <c r="L11" s="2430"/>
      <c r="M11" s="2430"/>
      <c r="N11" s="2428"/>
      <c r="O11" s="2428"/>
      <c r="P11" s="2153"/>
      <c r="Q11" s="2205"/>
      <c r="R11" s="2205"/>
      <c r="S11" s="2205"/>
      <c r="T11" s="2428"/>
      <c r="U11" s="2205"/>
      <c r="V11" s="2205"/>
      <c r="W11" s="2205"/>
      <c r="X11" s="2428"/>
      <c r="Y11" s="2134"/>
      <c r="Z11" s="2134"/>
      <c r="AA11" s="2134"/>
      <c r="AB11" s="2134"/>
      <c r="AD11" s="518" t="s">
        <v>1012</v>
      </c>
      <c r="AE11" s="518">
        <v>0</v>
      </c>
    </row>
    <row s="1649" customFormat="1" customHeight="1" ht="5.25" hidden="1">
      <c r="A12" s="903"/>
      <c r="B12" s="903"/>
      <c r="C12" s="903"/>
      <c r="E12" s="525"/>
      <c r="F12" s="2432"/>
      <c r="G12" s="2429"/>
      <c r="H12" s="2428"/>
      <c r="I12" s="2428"/>
      <c r="J12" s="2428"/>
      <c r="K12" s="2430"/>
      <c r="L12" s="2430"/>
      <c r="M12" s="2430"/>
      <c r="N12" s="2428"/>
      <c r="O12" s="2428"/>
      <c r="P12" s="2153"/>
      <c r="Q12" s="2205"/>
      <c r="R12" s="2205"/>
      <c r="S12" s="2205"/>
      <c r="T12" s="2428"/>
      <c r="U12" s="2205"/>
      <c r="V12" s="2205"/>
      <c r="W12" s="2205"/>
      <c r="X12" s="2428"/>
      <c r="Y12" s="2431"/>
      <c r="Z12" s="2431"/>
      <c r="AA12" s="2431"/>
      <c r="AB12" s="2431"/>
      <c r="AE12" s="518">
        <v>0</v>
      </c>
    </row>
    <row customHeight="1" ht="27">
      <c r="A13" s="1173"/>
      <c r="B13" s="1173"/>
      <c r="C13" s="1173"/>
      <c r="D13" s="1167"/>
      <c r="E13" s="690" t="s">
        <v>574</v>
      </c>
      <c r="F13" s="2607" t="s">
        <v>109</v>
      </c>
      <c r="G13" s="2608" t="s">
        <v>1013</v>
      </c>
      <c r="H13" s="2609" t="s">
        <v>65</v>
      </c>
      <c r="I13" s="2611">
        <v>43788.63418981482</v>
      </c>
      <c r="J13" s="2574">
        <v>45217.6340162037</v>
      </c>
      <c r="K13" s="2613" t="s">
        <v>1014</v>
      </c>
      <c r="L13" s="2576" t="s">
        <v>1015</v>
      </c>
      <c r="M13" s="2576" t="s">
        <v>1016</v>
      </c>
      <c r="N13" s="2577" t="s">
        <v>1017</v>
      </c>
      <c r="O13" s="2577" t="s">
        <v>1018</v>
      </c>
      <c r="P13" s="2578" t="str">
        <f>DATEDIF(DATEVALUE(N13),DATEVALUE(O13),"y")&amp;"г. "&amp;DATEDIF(DATEVALUE(N13),DATEVALUE(O13),"ym")&amp;"мес. "&amp;DATEVALUE(O13)-DATE(YEAR(DATEVALUE(O13)),MONTH(DATEVALUE(O13)),1)&amp;"дн. "</f>
        <v>6г. 2мес. 30дн. </v>
      </c>
      <c r="Q13" s="2573"/>
      <c r="R13" s="2573" t="s">
        <v>22</v>
      </c>
      <c r="S13" s="2573" t="s">
        <v>22</v>
      </c>
      <c r="T13" s="2574" t="s">
        <v>22</v>
      </c>
      <c r="U13" s="2573"/>
      <c r="V13" s="2573"/>
      <c r="W13" s="2573"/>
      <c r="X13" s="2574"/>
      <c r="Y13" s="2571" t="s">
        <v>65</v>
      </c>
      <c r="Z13" s="1814"/>
      <c r="AA13" s="1798">
        <v>1</v>
      </c>
      <c r="AB13" s="1249" t="s">
        <v>1019</v>
      </c>
      <c r="AC13" s="1642"/>
      <c r="AD13" s="1643" t="s">
        <v>1020</v>
      </c>
      <c r="AE13" s="1642"/>
    </row>
    <row customHeight="1" ht="10.5">
      <c r="A14" s="1173"/>
      <c r="B14" s="1173"/>
      <c r="C14" s="1173"/>
      <c r="D14" s="1167"/>
      <c r="E14" s="954"/>
      <c r="F14" s="2607" t="s">
        <v>375</v>
      </c>
      <c r="G14" s="2608"/>
      <c r="H14" s="2610"/>
      <c r="I14" s="2612"/>
      <c r="J14" s="2575"/>
      <c r="K14" s="2613"/>
      <c r="L14" s="2576"/>
      <c r="M14" s="2576"/>
      <c r="N14" s="2577"/>
      <c r="O14" s="2577"/>
      <c r="P14" s="2578"/>
      <c r="Q14" s="2573"/>
      <c r="R14" s="2573"/>
      <c r="S14" s="2573"/>
      <c r="T14" s="2575"/>
      <c r="U14" s="2573"/>
      <c r="V14" s="2573"/>
      <c r="W14" s="2573"/>
      <c r="X14" s="2575"/>
      <c r="Y14" s="2572"/>
      <c r="Z14" s="354"/>
      <c r="AA14" s="579"/>
      <c r="AB14" s="659" t="s">
        <v>1021</v>
      </c>
      <c r="AC14" s="1642"/>
      <c r="AD14" s="1642"/>
      <c r="AE14" s="1642"/>
    </row>
    <row customHeight="1" ht="10.5">
      <c r="F15" s="909"/>
      <c r="G15" s="657" t="s">
        <v>1022</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82</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EEC1E-A9FA-19C6-E6A1-A064EA37EEAA}" mc:Ignorable="x14ac xr xr2 xr3">
  <sheetPr>
    <tabColor theme="9" tint="-0.25"/>
  </sheetPr>
  <dimension ref="A1:BG103"/>
  <sheetViews>
    <sheetView showGridLines="0" zoomScale="90" workbookViewId="0">
      <pane xSplit="8" ySplit="12" topLeftCell="K13" activePane="bottomRight" state="frozen"/>
      <selection pane="bottomLeft" activeCell="A13" sqref="A13"/>
      <selection pane="topRight" activeCell="I1" sqref="I1"/>
      <selection pane="bottomRight" activeCell="AJ91" sqref="AJ91:AJ95"/>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hidden="1"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74" t="str">
        <f>IP_NAME_FORM</f>
        <v>Форма 7. Информация об инвестиционных программах организации водоотведения и отчетах об их исполнении</v>
      </c>
      <c r="G5" s="2274"/>
      <c r="H5" s="2274"/>
      <c r="I5" s="2274"/>
      <c r="J5" s="2274"/>
      <c r="K5" s="2274"/>
      <c r="L5" s="1142"/>
      <c r="M5" s="1142"/>
      <c r="AG5" s="913"/>
      <c r="AH5" s="1155"/>
      <c r="BG5" s="765">
        <v>26</v>
      </c>
    </row>
    <row customHeight="1" ht="10.5">
      <c r="F6" s="2202" t="str">
        <f>IF(org=0,"Не определено",org)</f>
        <v>Общество с ограниченной ответственностью "Сигнал", г. Серов</v>
      </c>
      <c r="G6" s="2202"/>
      <c r="H6" s="2202"/>
      <c r="I6" s="2202"/>
      <c r="J6" s="2202"/>
      <c r="K6" s="2202"/>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41" t="s">
        <v>299</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34" t="s">
        <v>1023</v>
      </c>
      <c r="G9" s="2435" t="s">
        <v>1024</v>
      </c>
      <c r="H9" s="2436"/>
      <c r="I9" s="2153" t="s">
        <v>1025</v>
      </c>
      <c r="J9" s="2153"/>
      <c r="K9" s="2153" t="s">
        <v>1026</v>
      </c>
      <c r="L9" s="2153"/>
      <c r="M9" s="2153"/>
      <c r="N9" s="2153"/>
      <c r="O9" s="2153"/>
      <c r="P9" s="2153"/>
      <c r="Q9" s="2153"/>
      <c r="R9" s="2153"/>
      <c r="S9" s="2153"/>
      <c r="T9" s="2153"/>
      <c r="U9" s="2153"/>
      <c r="V9" s="2153"/>
      <c r="W9" s="2153"/>
      <c r="X9" s="2153"/>
      <c r="Y9" s="2153"/>
      <c r="Z9" s="2218" t="s">
        <v>1027</v>
      </c>
      <c r="AA9" s="2219"/>
      <c r="AB9" s="2153" t="s">
        <v>1028</v>
      </c>
      <c r="AC9" s="2153"/>
      <c r="AD9" s="2153"/>
      <c r="AE9" s="2153"/>
      <c r="AF9" s="2201" t="s">
        <v>1029</v>
      </c>
      <c r="AG9" s="2153" t="s">
        <v>1030</v>
      </c>
      <c r="AH9" s="2153"/>
      <c r="AI9" s="2201" t="s">
        <v>1031</v>
      </c>
      <c r="AJ9" s="2153" t="s">
        <v>1032</v>
      </c>
      <c r="AK9" s="2153"/>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34"/>
      <c r="G10" s="2437"/>
      <c r="H10" s="2438"/>
      <c r="I10" s="2153"/>
      <c r="J10" s="2153"/>
      <c r="K10" s="2153" t="s">
        <v>1033</v>
      </c>
      <c r="L10" s="2127" t="s">
        <v>1034</v>
      </c>
      <c r="M10" s="2129"/>
      <c r="N10" s="2153" t="s">
        <v>1035</v>
      </c>
      <c r="O10" s="2153"/>
      <c r="P10" s="2153"/>
      <c r="Q10" s="2153"/>
      <c r="R10" s="2153"/>
      <c r="S10" s="2153"/>
      <c r="T10" s="2153"/>
      <c r="U10" s="2153"/>
      <c r="V10" s="2153"/>
      <c r="W10" s="2153"/>
      <c r="X10" s="2153"/>
      <c r="Y10" s="2153"/>
      <c r="Z10" s="2220"/>
      <c r="AA10" s="2221"/>
      <c r="AB10" s="2153"/>
      <c r="AC10" s="2153"/>
      <c r="AD10" s="2153"/>
      <c r="AE10" s="2153"/>
      <c r="AF10" s="2225"/>
      <c r="AG10" s="2153"/>
      <c r="AH10" s="2153"/>
      <c r="AI10" s="2225"/>
      <c r="AJ10" s="2153"/>
      <c r="AK10" s="2153"/>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34"/>
      <c r="G11" s="2437"/>
      <c r="H11" s="2438"/>
      <c r="I11" s="2153"/>
      <c r="J11" s="2153"/>
      <c r="K11" s="2153"/>
      <c r="L11" s="2201" t="s">
        <v>1036</v>
      </c>
      <c r="M11" s="2201" t="s">
        <v>1037</v>
      </c>
      <c r="N11" s="2153" t="s">
        <v>1038</v>
      </c>
      <c r="O11" s="2153"/>
      <c r="P11" s="2444" t="s">
        <v>1010</v>
      </c>
      <c r="Q11" s="2444" t="s">
        <v>1039</v>
      </c>
      <c r="R11" s="2444" t="s">
        <v>1040</v>
      </c>
      <c r="S11" s="2444" t="s">
        <v>1041</v>
      </c>
      <c r="T11" s="2444"/>
      <c r="U11" s="2444"/>
      <c r="V11" s="2444"/>
      <c r="W11" s="2444"/>
      <c r="X11" s="2444"/>
      <c r="Y11" s="2444"/>
      <c r="Z11" s="2220"/>
      <c r="AA11" s="2221"/>
      <c r="AB11" s="2153" t="s">
        <v>1042</v>
      </c>
      <c r="AC11" s="2153"/>
      <c r="AD11" s="2127" t="s">
        <v>1043</v>
      </c>
      <c r="AE11" s="2129"/>
      <c r="AF11" s="2225"/>
      <c r="AG11" s="2153"/>
      <c r="AH11" s="2153"/>
      <c r="AI11" s="2225"/>
      <c r="AJ11" s="2153"/>
      <c r="AK11" s="2153"/>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34"/>
      <c r="G12" s="2439"/>
      <c r="H12" s="2440"/>
      <c r="I12" s="1160" t="s">
        <v>89</v>
      </c>
      <c r="J12" s="1160" t="s">
        <v>1044</v>
      </c>
      <c r="K12" s="2153"/>
      <c r="L12" s="2258"/>
      <c r="M12" s="2258"/>
      <c r="N12" s="2153"/>
      <c r="O12" s="2153"/>
      <c r="P12" s="2444"/>
      <c r="Q12" s="2444"/>
      <c r="R12" s="2444"/>
      <c r="S12" s="1141" t="s">
        <v>86</v>
      </c>
      <c r="T12" s="1141" t="s">
        <v>87</v>
      </c>
      <c r="U12" s="1141" t="s">
        <v>85</v>
      </c>
      <c r="V12" s="1141" t="s">
        <v>1045</v>
      </c>
      <c r="W12" s="1141" t="s">
        <v>85</v>
      </c>
      <c r="X12" s="1141" t="s">
        <v>1046</v>
      </c>
      <c r="Y12" s="1141" t="s">
        <v>1047</v>
      </c>
      <c r="Z12" s="2226"/>
      <c r="AA12" s="2227"/>
      <c r="AB12" s="1148" t="s">
        <v>1048</v>
      </c>
      <c r="AC12" s="1148" t="s">
        <v>1049</v>
      </c>
      <c r="AD12" s="1148" t="s">
        <v>1048</v>
      </c>
      <c r="AE12" s="1148" t="s">
        <v>1049</v>
      </c>
      <c r="AF12" s="2258"/>
      <c r="AG12" s="1161" t="s">
        <v>1050</v>
      </c>
      <c r="AH12" s="1161" t="s">
        <v>1051</v>
      </c>
      <c r="AI12" s="2258"/>
      <c r="AJ12" s="1161" t="s">
        <v>1050</v>
      </c>
      <c r="AK12" s="1161" t="s">
        <v>1051</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1020</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 (18.10.2023-31.12.2029)</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1020</v>
      </c>
      <c r="B15" s="1173"/>
      <c r="C15" s="1173"/>
      <c r="D15" s="1167"/>
      <c r="E15" s="1177"/>
      <c r="F15" s="2562">
        <v>2023</v>
      </c>
      <c r="G15" s="2541"/>
      <c r="H15" s="2566" t="s">
        <v>375</v>
      </c>
      <c r="I15" s="2567"/>
      <c r="J15" s="2568"/>
      <c r="K15" s="2568"/>
      <c r="L15" s="2560"/>
      <c r="M15" s="2294"/>
      <c r="N15" s="2040"/>
      <c r="O15" s="2039"/>
      <c r="P15" s="2040"/>
      <c r="Q15" s="2040"/>
      <c r="R15" s="2040"/>
      <c r="S15" s="2040"/>
      <c r="T15" s="2040"/>
      <c r="U15" s="2040"/>
      <c r="V15" s="2040"/>
      <c r="W15" s="2040"/>
      <c r="X15" s="2040"/>
      <c r="Y15" s="2040"/>
      <c r="Z15" s="2040"/>
      <c r="AA15" s="2040"/>
      <c r="AB15" s="2040"/>
      <c r="AC15" s="2040"/>
      <c r="AD15" s="2040"/>
      <c r="AE15" s="2040"/>
      <c r="AF15" s="2564"/>
      <c r="AG15" s="2560"/>
      <c r="AH15" s="2560"/>
      <c r="AI15" s="2564"/>
      <c r="AJ15" s="2560"/>
      <c r="AK15" s="2560"/>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1020</v>
      </c>
      <c r="B16" s="1173"/>
      <c r="C16" s="1173"/>
      <c r="D16" s="1167"/>
      <c r="E16" s="1177"/>
      <c r="F16" s="2562"/>
      <c r="G16" s="2541"/>
      <c r="H16" s="2566"/>
      <c r="I16" s="2567"/>
      <c r="J16" s="2568"/>
      <c r="K16" s="2568"/>
      <c r="L16" s="2560"/>
      <c r="M16" s="2294"/>
      <c r="N16" s="2569"/>
      <c r="O16" s="2570"/>
      <c r="P16" s="2614"/>
      <c r="Q16" s="2565"/>
      <c r="R16" s="2565"/>
      <c r="S16" s="2565"/>
      <c r="T16" s="2565"/>
      <c r="U16" s="2565"/>
      <c r="V16" s="2565"/>
      <c r="W16" s="2565"/>
      <c r="X16" s="2565"/>
      <c r="Y16" s="2565"/>
      <c r="Z16" s="2041"/>
      <c r="AA16" s="2042"/>
      <c r="AB16" s="2042"/>
      <c r="AC16" s="2043"/>
      <c r="AD16" s="2043"/>
      <c r="AE16" s="2044"/>
      <c r="AF16" s="2564"/>
      <c r="AG16" s="2560"/>
      <c r="AH16" s="2560"/>
      <c r="AI16" s="2564"/>
      <c r="AJ16" s="2560"/>
      <c r="AK16" s="2560"/>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1020</v>
      </c>
      <c r="B17" s="1173"/>
      <c r="C17" s="1173"/>
      <c r="D17" s="1167"/>
      <c r="E17" s="1177"/>
      <c r="F17" s="2562"/>
      <c r="G17" s="2541"/>
      <c r="H17" s="2566"/>
      <c r="I17" s="2567"/>
      <c r="J17" s="2568"/>
      <c r="K17" s="2568"/>
      <c r="L17" s="2560"/>
      <c r="M17" s="2294"/>
      <c r="N17" s="2569"/>
      <c r="O17" s="2570"/>
      <c r="P17" s="2615"/>
      <c r="Q17" s="2565"/>
      <c r="R17" s="2565"/>
      <c r="S17" s="2565"/>
      <c r="T17" s="2565"/>
      <c r="U17" s="2565"/>
      <c r="V17" s="2565"/>
      <c r="W17" s="2565"/>
      <c r="X17" s="2565"/>
      <c r="Y17" s="2565"/>
      <c r="Z17" s="2045"/>
      <c r="AA17" s="2046"/>
      <c r="AB17" s="2047"/>
      <c r="AC17" s="2048"/>
      <c r="AD17" s="2047"/>
      <c r="AE17" s="2048"/>
      <c r="AF17" s="2564"/>
      <c r="AG17" s="2560"/>
      <c r="AH17" s="2560"/>
      <c r="AI17" s="2564"/>
      <c r="AJ17" s="2560"/>
      <c r="AK17" s="2560"/>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1020</v>
      </c>
      <c r="B18" s="1173"/>
      <c r="C18" s="1173"/>
      <c r="D18" s="1167"/>
      <c r="E18" s="1177"/>
      <c r="F18" s="2562"/>
      <c r="G18" s="2541"/>
      <c r="H18" s="2566"/>
      <c r="I18" s="2567"/>
      <c r="J18" s="2568"/>
      <c r="K18" s="2568"/>
      <c r="L18" s="2560"/>
      <c r="M18" s="2294"/>
      <c r="N18" s="2569"/>
      <c r="O18" s="2570"/>
      <c r="P18" s="2616"/>
      <c r="Q18" s="2565"/>
      <c r="R18" s="2565"/>
      <c r="S18" s="2565"/>
      <c r="T18" s="2565"/>
      <c r="U18" s="2565"/>
      <c r="V18" s="2565"/>
      <c r="W18" s="2565"/>
      <c r="X18" s="2565"/>
      <c r="Y18" s="2565"/>
      <c r="Z18" s="2041"/>
      <c r="AA18" s="2042"/>
      <c r="AB18" s="2049"/>
      <c r="AC18" s="2043"/>
      <c r="AD18" s="2043"/>
      <c r="AE18" s="2050"/>
      <c r="AF18" s="2564"/>
      <c r="AG18" s="2560"/>
      <c r="AH18" s="2560"/>
      <c r="AI18" s="2564"/>
      <c r="AJ18" s="2560"/>
      <c r="AK18" s="2560"/>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1020</v>
      </c>
      <c r="B19" s="1173"/>
      <c r="C19" s="1173"/>
      <c r="D19" s="1167"/>
      <c r="E19" s="1177"/>
      <c r="F19" s="2562"/>
      <c r="G19" s="2541"/>
      <c r="H19" s="2566"/>
      <c r="I19" s="2567"/>
      <c r="J19" s="2568"/>
      <c r="K19" s="2568"/>
      <c r="L19" s="2560"/>
      <c r="M19" s="2294"/>
      <c r="N19" s="2042"/>
      <c r="O19" s="2042"/>
      <c r="P19" s="2049"/>
      <c r="Q19" s="2042"/>
      <c r="R19" s="2042"/>
      <c r="S19" s="2042"/>
      <c r="T19" s="2042"/>
      <c r="U19" s="2042"/>
      <c r="V19" s="2042"/>
      <c r="W19" s="2042"/>
      <c r="X19" s="2042"/>
      <c r="Y19" s="2042"/>
      <c r="Z19" s="2042"/>
      <c r="AA19" s="2042"/>
      <c r="AB19" s="2042"/>
      <c r="AC19" s="2042"/>
      <c r="AD19" s="2042"/>
      <c r="AE19" s="2051"/>
      <c r="AF19" s="2564"/>
      <c r="AG19" s="2560"/>
      <c r="AH19" s="2560"/>
      <c r="AI19" s="2564"/>
      <c r="AJ19" s="2560"/>
      <c r="AK19" s="2560"/>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1.25">
      <c r="A20" s="1173" t="s">
        <v>1020</v>
      </c>
      <c r="B20" s="1173"/>
      <c r="C20" s="1173"/>
      <c r="D20" s="1167"/>
      <c r="E20" s="1177"/>
      <c r="F20" s="1835"/>
      <c r="G20" s="690" t="s">
        <v>574</v>
      </c>
      <c r="H20" s="2541" t="s">
        <v>109</v>
      </c>
      <c r="I20" s="2542"/>
      <c r="J20" s="2511"/>
      <c r="K20" s="2543" t="s">
        <v>1052</v>
      </c>
      <c r="L20" s="2133" t="s">
        <v>19</v>
      </c>
      <c r="M20" s="2134"/>
      <c r="N20" s="1990"/>
      <c r="O20" s="1184" t="s">
        <v>375</v>
      </c>
      <c r="P20" s="1185"/>
      <c r="Q20" s="1185"/>
      <c r="R20" s="1185"/>
      <c r="S20" s="1185"/>
      <c r="T20" s="1185"/>
      <c r="U20" s="1185"/>
      <c r="V20" s="1185"/>
      <c r="W20" s="1185"/>
      <c r="X20" s="1185"/>
      <c r="Y20" s="1185"/>
      <c r="Z20" s="1185"/>
      <c r="AA20" s="1185"/>
      <c r="AB20" s="1185"/>
      <c r="AC20" s="1185"/>
      <c r="AD20" s="1185"/>
      <c r="AE20" s="1185"/>
      <c r="AF20" s="2532">
        <v>2029</v>
      </c>
      <c r="AG20" s="2533" t="s">
        <v>1053</v>
      </c>
      <c r="AH20" s="2533" t="s">
        <v>1053</v>
      </c>
      <c r="AI20" s="2660"/>
      <c r="AJ20" s="2533" t="s">
        <v>1053</v>
      </c>
      <c r="AK20" s="2533" t="s">
        <v>1053</v>
      </c>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11.25">
      <c r="A21" s="1173" t="s">
        <v>1020</v>
      </c>
      <c r="B21" s="1173"/>
      <c r="C21" s="1173"/>
      <c r="D21" s="1167"/>
      <c r="E21" s="1177"/>
      <c r="F21" s="1835"/>
      <c r="G21" s="1836"/>
      <c r="H21" s="2541" t="s">
        <v>375</v>
      </c>
      <c r="I21" s="2542"/>
      <c r="J21" s="2511"/>
      <c r="K21" s="2543"/>
      <c r="L21" s="2133"/>
      <c r="M21" s="2134"/>
      <c r="N21" s="2534"/>
      <c r="O21" s="2535">
        <v>1</v>
      </c>
      <c r="P21" s="2536" t="s">
        <v>19</v>
      </c>
      <c r="Q21" s="2539" t="s">
        <v>22</v>
      </c>
      <c r="R21" s="2539" t="s">
        <v>22</v>
      </c>
      <c r="S21" s="2539" t="s">
        <v>22</v>
      </c>
      <c r="T21" s="2539" t="s">
        <v>22</v>
      </c>
      <c r="U21" s="2539" t="s">
        <v>22</v>
      </c>
      <c r="V21" s="2539" t="s">
        <v>22</v>
      </c>
      <c r="W21" s="2539" t="s">
        <v>22</v>
      </c>
      <c r="X21" s="2539" t="s">
        <v>22</v>
      </c>
      <c r="Y21" s="2539"/>
      <c r="Z21" s="1182"/>
      <c r="AA21" s="1183"/>
      <c r="AB21" s="1183"/>
      <c r="AC21" s="1187"/>
      <c r="AD21" s="1187"/>
      <c r="AE21" s="1188"/>
      <c r="AF21" s="2532"/>
      <c r="AG21" s="2533"/>
      <c r="AH21" s="2533"/>
      <c r="AI21" s="2660"/>
      <c r="AJ21" s="2533"/>
      <c r="AK21" s="2533"/>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11.25">
      <c r="A22" s="1173" t="s">
        <v>1020</v>
      </c>
      <c r="B22" s="1173"/>
      <c r="C22" s="1173"/>
      <c r="D22" s="1167"/>
      <c r="E22" s="1177"/>
      <c r="F22" s="1835"/>
      <c r="G22" s="1836"/>
      <c r="H22" s="2541" t="s">
        <v>375</v>
      </c>
      <c r="I22" s="2542"/>
      <c r="J22" s="2511"/>
      <c r="K22" s="2543"/>
      <c r="L22" s="2133"/>
      <c r="M22" s="2134"/>
      <c r="N22" s="2534"/>
      <c r="O22" s="2535"/>
      <c r="P22" s="2537"/>
      <c r="Q22" s="2539"/>
      <c r="R22" s="2539"/>
      <c r="S22" s="2540"/>
      <c r="T22" s="2539"/>
      <c r="U22" s="2539"/>
      <c r="V22" s="2539"/>
      <c r="W22" s="2539"/>
      <c r="X22" s="2539"/>
      <c r="Y22" s="2539"/>
      <c r="Z22" s="1834"/>
      <c r="AA22" s="1800">
        <v>1</v>
      </c>
      <c r="AB22" s="1186" t="s">
        <v>1054</v>
      </c>
      <c r="AC22" s="1176">
        <v>663.42</v>
      </c>
      <c r="AD22" s="1186" t="str">
        <f>AB22</f>
        <v>  Прибыль направляемая на инвестиции</v>
      </c>
      <c r="AE22" s="1176">
        <v>663.42</v>
      </c>
      <c r="AF22" s="2532"/>
      <c r="AG22" s="2533"/>
      <c r="AH22" s="2533"/>
      <c r="AI22" s="2660"/>
      <c r="AJ22" s="2533"/>
      <c r="AK22" s="2533"/>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11.25">
      <c r="A23" s="1173" t="s">
        <v>1020</v>
      </c>
      <c r="B23" s="1173"/>
      <c r="C23" s="1173"/>
      <c r="D23" s="1167"/>
      <c r="E23" s="1177"/>
      <c r="F23" s="1835"/>
      <c r="G23" s="1836"/>
      <c r="H23" s="2541" t="s">
        <v>375</v>
      </c>
      <c r="I23" s="2542"/>
      <c r="J23" s="2511"/>
      <c r="K23" s="2543"/>
      <c r="L23" s="2133"/>
      <c r="M23" s="2134"/>
      <c r="N23" s="2534"/>
      <c r="O23" s="2535"/>
      <c r="P23" s="2538"/>
      <c r="Q23" s="2539"/>
      <c r="R23" s="2539"/>
      <c r="S23" s="2540"/>
      <c r="T23" s="2539"/>
      <c r="U23" s="2539"/>
      <c r="V23" s="2539"/>
      <c r="W23" s="2539"/>
      <c r="X23" s="2539"/>
      <c r="Y23" s="2539"/>
      <c r="Z23" s="1182"/>
      <c r="AA23" s="1183"/>
      <c r="AB23" s="1248" t="s">
        <v>1055</v>
      </c>
      <c r="AC23" s="1187"/>
      <c r="AD23" s="1187"/>
      <c r="AE23" s="1189"/>
      <c r="AF23" s="2532"/>
      <c r="AG23" s="2533"/>
      <c r="AH23" s="2533"/>
      <c r="AI23" s="2660"/>
      <c r="AJ23" s="2533"/>
      <c r="AK23" s="2533"/>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11.25">
      <c r="A24" s="1173" t="s">
        <v>1020</v>
      </c>
      <c r="B24" s="1173"/>
      <c r="C24" s="1173"/>
      <c r="D24" s="1167"/>
      <c r="E24" s="1177"/>
      <c r="F24" s="1835"/>
      <c r="G24" s="1836"/>
      <c r="H24" s="2541" t="s">
        <v>375</v>
      </c>
      <c r="I24" s="2542"/>
      <c r="J24" s="2511"/>
      <c r="K24" s="2543"/>
      <c r="L24" s="2133"/>
      <c r="M24" s="2134"/>
      <c r="N24" s="1182"/>
      <c r="O24" s="1183"/>
      <c r="P24" s="1175" t="s">
        <v>1056</v>
      </c>
      <c r="Q24" s="1183"/>
      <c r="R24" s="1183"/>
      <c r="S24" s="1183"/>
      <c r="T24" s="1183"/>
      <c r="U24" s="1183"/>
      <c r="V24" s="1183"/>
      <c r="W24" s="1183"/>
      <c r="X24" s="1183"/>
      <c r="Y24" s="1183"/>
      <c r="Z24" s="1183"/>
      <c r="AA24" s="1183"/>
      <c r="AB24" s="1183"/>
      <c r="AC24" s="1183"/>
      <c r="AD24" s="1183"/>
      <c r="AE24" s="1190"/>
      <c r="AF24" s="2532"/>
      <c r="AG24" s="2533"/>
      <c r="AH24" s="2533"/>
      <c r="AI24" s="2660"/>
      <c r="AJ24" s="2533"/>
      <c r="AK24" s="2533"/>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12">
      <c r="A25" s="1173" t="s">
        <v>1020</v>
      </c>
      <c r="B25" s="1173"/>
      <c r="C25" s="1173"/>
      <c r="D25" s="1167"/>
      <c r="E25" s="1177"/>
      <c r="F25" s="2563"/>
      <c r="G25" s="1197"/>
      <c r="H25" s="1197"/>
      <c r="I25" s="2561" t="s">
        <v>1057</v>
      </c>
      <c r="J25" s="2561"/>
      <c r="K25" s="2561"/>
      <c r="L25" s="1180"/>
      <c r="M25" s="1180"/>
      <c r="N25" s="1181"/>
      <c r="O25" s="1181"/>
      <c r="P25" s="1181"/>
      <c r="Q25" s="1181"/>
      <c r="R25" s="1181"/>
      <c r="S25" s="1181"/>
      <c r="T25" s="1181"/>
      <c r="U25" s="1181"/>
      <c r="V25" s="1181"/>
      <c r="W25" s="1181"/>
      <c r="X25" s="1181"/>
      <c r="Y25" s="1181"/>
      <c r="Z25" s="1181"/>
      <c r="AA25" s="1181"/>
      <c r="AB25" s="1181"/>
      <c r="AC25" s="1181"/>
      <c r="AD25" s="1181"/>
      <c r="AE25" s="1181"/>
      <c r="AF25" s="1181"/>
      <c r="AG25" s="1180"/>
      <c r="AH25" s="1180"/>
      <c r="AI25" s="1181"/>
      <c r="AJ25" s="1180"/>
      <c r="AK25" s="1181"/>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0.75">
      <c r="A26" s="1173" t="s">
        <v>1020</v>
      </c>
      <c r="B26" s="1173"/>
      <c r="C26" s="1173"/>
      <c r="D26" s="1167"/>
      <c r="E26" s="1177"/>
      <c r="F26" s="2562">
        <v>2024</v>
      </c>
      <c r="G26" s="2541"/>
      <c r="H26" s="2566" t="s">
        <v>375</v>
      </c>
      <c r="I26" s="2567"/>
      <c r="J26" s="2568"/>
      <c r="K26" s="2568"/>
      <c r="L26" s="2560"/>
      <c r="M26" s="2294"/>
      <c r="N26" s="2040"/>
      <c r="O26" s="2039"/>
      <c r="P26" s="2040"/>
      <c r="Q26" s="2040"/>
      <c r="R26" s="2040"/>
      <c r="S26" s="2040"/>
      <c r="T26" s="2040"/>
      <c r="U26" s="2040"/>
      <c r="V26" s="2040"/>
      <c r="W26" s="2040"/>
      <c r="X26" s="2040"/>
      <c r="Y26" s="2040"/>
      <c r="Z26" s="2040"/>
      <c r="AA26" s="2040"/>
      <c r="AB26" s="2040"/>
      <c r="AC26" s="2040"/>
      <c r="AD26" s="2040"/>
      <c r="AE26" s="2040"/>
      <c r="AF26" s="2564"/>
      <c r="AG26" s="2560"/>
      <c r="AH26" s="2560"/>
      <c r="AI26" s="2564"/>
      <c r="AJ26" s="2560"/>
      <c r="AK26" s="2560"/>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0.75">
      <c r="A27" s="1173" t="s">
        <v>1020</v>
      </c>
      <c r="B27" s="1173"/>
      <c r="C27" s="1173"/>
      <c r="D27" s="1167"/>
      <c r="E27" s="1177"/>
      <c r="F27" s="2562"/>
      <c r="G27" s="2541"/>
      <c r="H27" s="2566"/>
      <c r="I27" s="2567"/>
      <c r="J27" s="2568"/>
      <c r="K27" s="2568"/>
      <c r="L27" s="2560"/>
      <c r="M27" s="2294"/>
      <c r="N27" s="2569"/>
      <c r="O27" s="2570"/>
      <c r="P27" s="2614"/>
      <c r="Q27" s="2565"/>
      <c r="R27" s="2565"/>
      <c r="S27" s="2565"/>
      <c r="T27" s="2565"/>
      <c r="U27" s="2565"/>
      <c r="V27" s="2565"/>
      <c r="W27" s="2565"/>
      <c r="X27" s="2565"/>
      <c r="Y27" s="2565"/>
      <c r="Z27" s="2041"/>
      <c r="AA27" s="2042"/>
      <c r="AB27" s="2042"/>
      <c r="AC27" s="2043"/>
      <c r="AD27" s="2043"/>
      <c r="AE27" s="2044"/>
      <c r="AF27" s="2564"/>
      <c r="AG27" s="2560"/>
      <c r="AH27" s="2560"/>
      <c r="AI27" s="2564"/>
      <c r="AJ27" s="2560"/>
      <c r="AK27" s="2560"/>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0.75">
      <c r="A28" s="1173" t="s">
        <v>1020</v>
      </c>
      <c r="B28" s="1173"/>
      <c r="C28" s="1173"/>
      <c r="D28" s="1167"/>
      <c r="E28" s="1177"/>
      <c r="F28" s="2562"/>
      <c r="G28" s="2541"/>
      <c r="H28" s="2566"/>
      <c r="I28" s="2567"/>
      <c r="J28" s="2568"/>
      <c r="K28" s="2568"/>
      <c r="L28" s="2560"/>
      <c r="M28" s="2294"/>
      <c r="N28" s="2569"/>
      <c r="O28" s="2570"/>
      <c r="P28" s="2615"/>
      <c r="Q28" s="2565"/>
      <c r="R28" s="2565"/>
      <c r="S28" s="2565"/>
      <c r="T28" s="2565"/>
      <c r="U28" s="2565"/>
      <c r="V28" s="2565"/>
      <c r="W28" s="2565"/>
      <c r="X28" s="2565"/>
      <c r="Y28" s="2565"/>
      <c r="Z28" s="2045"/>
      <c r="AA28" s="2046"/>
      <c r="AB28" s="2047"/>
      <c r="AC28" s="2048"/>
      <c r="AD28" s="2047"/>
      <c r="AE28" s="2048"/>
      <c r="AF28" s="2564"/>
      <c r="AG28" s="2560"/>
      <c r="AH28" s="2560"/>
      <c r="AI28" s="2564"/>
      <c r="AJ28" s="2560"/>
      <c r="AK28" s="2560"/>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0.75">
      <c r="A29" s="1173" t="s">
        <v>1020</v>
      </c>
      <c r="B29" s="1173"/>
      <c r="C29" s="1173"/>
      <c r="D29" s="1167"/>
      <c r="E29" s="1177"/>
      <c r="F29" s="2562"/>
      <c r="G29" s="2541"/>
      <c r="H29" s="2566"/>
      <c r="I29" s="2567"/>
      <c r="J29" s="2568"/>
      <c r="K29" s="2568"/>
      <c r="L29" s="2560"/>
      <c r="M29" s="2294"/>
      <c r="N29" s="2569"/>
      <c r="O29" s="2570"/>
      <c r="P29" s="2616"/>
      <c r="Q29" s="2565"/>
      <c r="R29" s="2565"/>
      <c r="S29" s="2565"/>
      <c r="T29" s="2565"/>
      <c r="U29" s="2565"/>
      <c r="V29" s="2565"/>
      <c r="W29" s="2565"/>
      <c r="X29" s="2565"/>
      <c r="Y29" s="2565"/>
      <c r="Z29" s="2041"/>
      <c r="AA29" s="2042"/>
      <c r="AB29" s="2049"/>
      <c r="AC29" s="2043"/>
      <c r="AD29" s="2043"/>
      <c r="AE29" s="2050"/>
      <c r="AF29" s="2564"/>
      <c r="AG29" s="2560"/>
      <c r="AH29" s="2560"/>
      <c r="AI29" s="2564"/>
      <c r="AJ29" s="2560"/>
      <c r="AK29" s="2560"/>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0.75">
      <c r="A30" s="1173" t="s">
        <v>1020</v>
      </c>
      <c r="B30" s="1173"/>
      <c r="C30" s="1173"/>
      <c r="D30" s="1167"/>
      <c r="E30" s="1177"/>
      <c r="F30" s="2562"/>
      <c r="G30" s="2541"/>
      <c r="H30" s="2566"/>
      <c r="I30" s="2567"/>
      <c r="J30" s="2568"/>
      <c r="K30" s="2568"/>
      <c r="L30" s="2560"/>
      <c r="M30" s="2294"/>
      <c r="N30" s="2042"/>
      <c r="O30" s="2042"/>
      <c r="P30" s="2049"/>
      <c r="Q30" s="2042"/>
      <c r="R30" s="2042"/>
      <c r="S30" s="2042"/>
      <c r="T30" s="2042"/>
      <c r="U30" s="2042"/>
      <c r="V30" s="2042"/>
      <c r="W30" s="2042"/>
      <c r="X30" s="2042"/>
      <c r="Y30" s="2042"/>
      <c r="Z30" s="2042"/>
      <c r="AA30" s="2042"/>
      <c r="AB30" s="2042"/>
      <c r="AC30" s="2042"/>
      <c r="AD30" s="2042"/>
      <c r="AE30" s="2051"/>
      <c r="AF30" s="2564"/>
      <c r="AG30" s="2560"/>
      <c r="AH30" s="2560"/>
      <c r="AI30" s="2564"/>
      <c r="AJ30" s="2560"/>
      <c r="AK30" s="2560"/>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11.25">
      <c r="A31" s="1173" t="s">
        <v>1020</v>
      </c>
      <c r="B31" s="1173"/>
      <c r="C31" s="1173"/>
      <c r="D31" s="1167"/>
      <c r="E31" s="1177"/>
      <c r="F31" s="1835"/>
      <c r="G31" s="690" t="s">
        <v>574</v>
      </c>
      <c r="H31" s="2541" t="s">
        <v>109</v>
      </c>
      <c r="I31" s="2542"/>
      <c r="J31" s="2511"/>
      <c r="K31" s="2543" t="s">
        <v>1052</v>
      </c>
      <c r="L31" s="2133" t="s">
        <v>19</v>
      </c>
      <c r="M31" s="2134"/>
      <c r="N31" s="1990"/>
      <c r="O31" s="1184" t="s">
        <v>375</v>
      </c>
      <c r="P31" s="1185"/>
      <c r="Q31" s="1185"/>
      <c r="R31" s="1185"/>
      <c r="S31" s="1185"/>
      <c r="T31" s="1185"/>
      <c r="U31" s="1185"/>
      <c r="V31" s="1185"/>
      <c r="W31" s="1185"/>
      <c r="X31" s="1185"/>
      <c r="Y31" s="1185"/>
      <c r="Z31" s="1185"/>
      <c r="AA31" s="1185"/>
      <c r="AB31" s="1185"/>
      <c r="AC31" s="1185"/>
      <c r="AD31" s="1185"/>
      <c r="AE31" s="1185"/>
      <c r="AF31" s="2532">
        <v>2029</v>
      </c>
      <c r="AG31" s="2533" t="s">
        <v>1053</v>
      </c>
      <c r="AH31" s="2533" t="s">
        <v>1053</v>
      </c>
      <c r="AI31" s="2660"/>
      <c r="AJ31" s="2533" t="s">
        <v>1053</v>
      </c>
      <c r="AK31" s="2533" t="s">
        <v>1053</v>
      </c>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11.25">
      <c r="A32" s="1173" t="s">
        <v>1020</v>
      </c>
      <c r="B32" s="1173"/>
      <c r="C32" s="1173"/>
      <c r="D32" s="1167"/>
      <c r="E32" s="1177"/>
      <c r="F32" s="1835"/>
      <c r="G32" s="1836"/>
      <c r="H32" s="2541" t="s">
        <v>375</v>
      </c>
      <c r="I32" s="2542"/>
      <c r="J32" s="2511"/>
      <c r="K32" s="2543"/>
      <c r="L32" s="2133"/>
      <c r="M32" s="2134"/>
      <c r="N32" s="2534"/>
      <c r="O32" s="2535">
        <v>1</v>
      </c>
      <c r="P32" s="2536" t="s">
        <v>19</v>
      </c>
      <c r="Q32" s="2539" t="s">
        <v>22</v>
      </c>
      <c r="R32" s="2539" t="s">
        <v>22</v>
      </c>
      <c r="S32" s="2539" t="s">
        <v>22</v>
      </c>
      <c r="T32" s="2539" t="s">
        <v>22</v>
      </c>
      <c r="U32" s="2539" t="s">
        <v>22</v>
      </c>
      <c r="V32" s="2539" t="s">
        <v>22</v>
      </c>
      <c r="W32" s="2539" t="s">
        <v>22</v>
      </c>
      <c r="X32" s="2539" t="s">
        <v>22</v>
      </c>
      <c r="Y32" s="2539"/>
      <c r="Z32" s="1182"/>
      <c r="AA32" s="1183"/>
      <c r="AB32" s="1183"/>
      <c r="AC32" s="1187"/>
      <c r="AD32" s="1187"/>
      <c r="AE32" s="1188"/>
      <c r="AF32" s="2532"/>
      <c r="AG32" s="2533"/>
      <c r="AH32" s="2533"/>
      <c r="AI32" s="2660"/>
      <c r="AJ32" s="2533"/>
      <c r="AK32" s="2533"/>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11.25">
      <c r="A33" s="1173" t="s">
        <v>1020</v>
      </c>
      <c r="B33" s="1173"/>
      <c r="C33" s="1173"/>
      <c r="D33" s="1167"/>
      <c r="E33" s="1177"/>
      <c r="F33" s="1835"/>
      <c r="G33" s="1836"/>
      <c r="H33" s="2541" t="s">
        <v>375</v>
      </c>
      <c r="I33" s="2542"/>
      <c r="J33" s="2511"/>
      <c r="K33" s="2543"/>
      <c r="L33" s="2133"/>
      <c r="M33" s="2134"/>
      <c r="N33" s="2534"/>
      <c r="O33" s="2535"/>
      <c r="P33" s="2537"/>
      <c r="Q33" s="2539"/>
      <c r="R33" s="2539"/>
      <c r="S33" s="2540"/>
      <c r="T33" s="2539"/>
      <c r="U33" s="2539"/>
      <c r="V33" s="2539"/>
      <c r="W33" s="2539"/>
      <c r="X33" s="2539"/>
      <c r="Y33" s="2539"/>
      <c r="Z33" s="1834"/>
      <c r="AA33" s="1800">
        <v>1</v>
      </c>
      <c r="AB33" s="1186" t="s">
        <v>1054</v>
      </c>
      <c r="AC33" s="1176">
        <v>663.42</v>
      </c>
      <c r="AD33" s="1186" t="str">
        <f>AB33</f>
        <v>  Прибыль направляемая на инвестиции</v>
      </c>
      <c r="AE33" s="1176">
        <v>663.42</v>
      </c>
      <c r="AF33" s="2532"/>
      <c r="AG33" s="2533"/>
      <c r="AH33" s="2533"/>
      <c r="AI33" s="2660"/>
      <c r="AJ33" s="2533"/>
      <c r="AK33" s="2533"/>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11.25">
      <c r="A34" s="1173" t="s">
        <v>1020</v>
      </c>
      <c r="B34" s="1173"/>
      <c r="C34" s="1173"/>
      <c r="D34" s="1167"/>
      <c r="E34" s="1177"/>
      <c r="F34" s="1835"/>
      <c r="G34" s="1836"/>
      <c r="H34" s="2541" t="s">
        <v>375</v>
      </c>
      <c r="I34" s="2542"/>
      <c r="J34" s="2511"/>
      <c r="K34" s="2543"/>
      <c r="L34" s="2133"/>
      <c r="M34" s="2134"/>
      <c r="N34" s="2534"/>
      <c r="O34" s="2535"/>
      <c r="P34" s="2538"/>
      <c r="Q34" s="2539"/>
      <c r="R34" s="2539"/>
      <c r="S34" s="2540"/>
      <c r="T34" s="2539"/>
      <c r="U34" s="2539"/>
      <c r="V34" s="2539"/>
      <c r="W34" s="2539"/>
      <c r="X34" s="2539"/>
      <c r="Y34" s="2539"/>
      <c r="Z34" s="1182"/>
      <c r="AA34" s="1183"/>
      <c r="AB34" s="1248" t="s">
        <v>1055</v>
      </c>
      <c r="AC34" s="1187"/>
      <c r="AD34" s="1187"/>
      <c r="AE34" s="1189"/>
      <c r="AF34" s="2532"/>
      <c r="AG34" s="2533"/>
      <c r="AH34" s="2533"/>
      <c r="AI34" s="2660"/>
      <c r="AJ34" s="2533"/>
      <c r="AK34" s="2533"/>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11.25">
      <c r="A35" s="1173" t="s">
        <v>1020</v>
      </c>
      <c r="B35" s="1173"/>
      <c r="C35" s="1173"/>
      <c r="D35" s="1167"/>
      <c r="E35" s="1177"/>
      <c r="F35" s="1835"/>
      <c r="G35" s="1836"/>
      <c r="H35" s="2541" t="s">
        <v>375</v>
      </c>
      <c r="I35" s="2542"/>
      <c r="J35" s="2511"/>
      <c r="K35" s="2543"/>
      <c r="L35" s="2133"/>
      <c r="M35" s="2134"/>
      <c r="N35" s="1182"/>
      <c r="O35" s="1183"/>
      <c r="P35" s="1175" t="s">
        <v>1056</v>
      </c>
      <c r="Q35" s="1183"/>
      <c r="R35" s="1183"/>
      <c r="S35" s="1183"/>
      <c r="T35" s="1183"/>
      <c r="U35" s="1183"/>
      <c r="V35" s="1183"/>
      <c r="W35" s="1183"/>
      <c r="X35" s="1183"/>
      <c r="Y35" s="1183"/>
      <c r="Z35" s="1183"/>
      <c r="AA35" s="1183"/>
      <c r="AB35" s="1183"/>
      <c r="AC35" s="1183"/>
      <c r="AD35" s="1183"/>
      <c r="AE35" s="1190"/>
      <c r="AF35" s="2532"/>
      <c r="AG35" s="2533"/>
      <c r="AH35" s="2533"/>
      <c r="AI35" s="2660"/>
      <c r="AJ35" s="2533"/>
      <c r="AK35" s="2533"/>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11.25">
      <c r="A36" s="1173" t="s">
        <v>1020</v>
      </c>
      <c r="B36" s="1173"/>
      <c r="C36" s="1173"/>
      <c r="D36" s="1167"/>
      <c r="E36" s="1177"/>
      <c r="F36" s="1835"/>
      <c r="G36" s="690" t="s">
        <v>574</v>
      </c>
      <c r="H36" s="2541" t="s">
        <v>110</v>
      </c>
      <c r="I36" s="2542"/>
      <c r="J36" s="2511"/>
      <c r="K36" s="2543" t="s">
        <v>1058</v>
      </c>
      <c r="L36" s="2133" t="s">
        <v>65</v>
      </c>
      <c r="M36" s="2661" t="s">
        <v>1019</v>
      </c>
      <c r="N36" s="1990"/>
      <c r="O36" s="1184" t="s">
        <v>375</v>
      </c>
      <c r="P36" s="1185"/>
      <c r="Q36" s="1185"/>
      <c r="R36" s="1185"/>
      <c r="S36" s="1185"/>
      <c r="T36" s="1185"/>
      <c r="U36" s="1185"/>
      <c r="V36" s="1185"/>
      <c r="W36" s="1185"/>
      <c r="X36" s="1185"/>
      <c r="Y36" s="1185"/>
      <c r="Z36" s="1185"/>
      <c r="AA36" s="1185"/>
      <c r="AB36" s="1185"/>
      <c r="AC36" s="1185"/>
      <c r="AD36" s="1185"/>
      <c r="AE36" s="1185"/>
      <c r="AF36" s="2532">
        <v>2024</v>
      </c>
      <c r="AG36" s="2533" t="s">
        <v>1059</v>
      </c>
      <c r="AH36" s="2533" t="s">
        <v>1060</v>
      </c>
      <c r="AI36" s="2532">
        <v>2024</v>
      </c>
      <c r="AJ36" s="2533" t="s">
        <v>1059</v>
      </c>
      <c r="AK36" s="2533" t="s">
        <v>1060</v>
      </c>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11.25">
      <c r="A37" s="1173" t="s">
        <v>1020</v>
      </c>
      <c r="B37" s="1173"/>
      <c r="C37" s="1173"/>
      <c r="D37" s="1167"/>
      <c r="E37" s="1177"/>
      <c r="F37" s="1835"/>
      <c r="G37" s="1836"/>
      <c r="H37" s="2541" t="s">
        <v>109</v>
      </c>
      <c r="I37" s="2542"/>
      <c r="J37" s="2511"/>
      <c r="K37" s="2543"/>
      <c r="L37" s="2133"/>
      <c r="M37" s="2661"/>
      <c r="N37" s="2534"/>
      <c r="O37" s="2535">
        <v>1</v>
      </c>
      <c r="P37" s="2536" t="s">
        <v>19</v>
      </c>
      <c r="Q37" s="2539" t="s">
        <v>22</v>
      </c>
      <c r="R37" s="2539" t="s">
        <v>22</v>
      </c>
      <c r="S37" s="2539" t="s">
        <v>22</v>
      </c>
      <c r="T37" s="2539" t="s">
        <v>22</v>
      </c>
      <c r="U37" s="2539" t="s">
        <v>22</v>
      </c>
      <c r="V37" s="2539" t="s">
        <v>22</v>
      </c>
      <c r="W37" s="2539" t="s">
        <v>22</v>
      </c>
      <c r="X37" s="2539" t="s">
        <v>22</v>
      </c>
      <c r="Y37" s="2539"/>
      <c r="Z37" s="1182"/>
      <c r="AA37" s="1183"/>
      <c r="AB37" s="1183"/>
      <c r="AC37" s="1187"/>
      <c r="AD37" s="1187"/>
      <c r="AE37" s="1188"/>
      <c r="AF37" s="2532"/>
      <c r="AG37" s="2533"/>
      <c r="AH37" s="2533"/>
      <c r="AI37" s="2532"/>
      <c r="AJ37" s="2533"/>
      <c r="AK37" s="2533"/>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1.25">
      <c r="A38" s="1173" t="s">
        <v>1020</v>
      </c>
      <c r="B38" s="1173"/>
      <c r="C38" s="1173"/>
      <c r="D38" s="1167"/>
      <c r="E38" s="1177"/>
      <c r="F38" s="1835"/>
      <c r="G38" s="1836"/>
      <c r="H38" s="2541" t="s">
        <v>109</v>
      </c>
      <c r="I38" s="2542"/>
      <c r="J38" s="2511"/>
      <c r="K38" s="2543"/>
      <c r="L38" s="2133"/>
      <c r="M38" s="2661"/>
      <c r="N38" s="2534"/>
      <c r="O38" s="2535"/>
      <c r="P38" s="2537"/>
      <c r="Q38" s="2539"/>
      <c r="R38" s="2539"/>
      <c r="S38" s="2540"/>
      <c r="T38" s="2539"/>
      <c r="U38" s="2539"/>
      <c r="V38" s="2539"/>
      <c r="W38" s="2539"/>
      <c r="X38" s="2539"/>
      <c r="Y38" s="2539"/>
      <c r="Z38" s="1834"/>
      <c r="AA38" s="1800">
        <v>1</v>
      </c>
      <c r="AB38" s="1186" t="s">
        <v>1061</v>
      </c>
      <c r="AC38" s="1176">
        <v>14951.07</v>
      </c>
      <c r="AD38" s="1186" t="str">
        <f>AB38</f>
        <v>  Доход от взимания платы за негативное воздействие на работу централизованной системы водоотведения</v>
      </c>
      <c r="AE38" s="1176">
        <v>14951.07</v>
      </c>
      <c r="AF38" s="2532"/>
      <c r="AG38" s="2533"/>
      <c r="AH38" s="2533"/>
      <c r="AI38" s="2532"/>
      <c r="AJ38" s="2533"/>
      <c r="AK38" s="2533"/>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11.25">
      <c r="A39" s="1173" t="s">
        <v>1020</v>
      </c>
      <c r="B39" s="1173"/>
      <c r="C39" s="1173"/>
      <c r="D39" s="1167"/>
      <c r="E39" s="1177"/>
      <c r="F39" s="1835"/>
      <c r="G39" s="1836"/>
      <c r="H39" s="2541" t="s">
        <v>109</v>
      </c>
      <c r="I39" s="2542"/>
      <c r="J39" s="2511"/>
      <c r="K39" s="2543"/>
      <c r="L39" s="2133"/>
      <c r="M39" s="2661"/>
      <c r="N39" s="2534"/>
      <c r="O39" s="2535"/>
      <c r="P39" s="2538"/>
      <c r="Q39" s="2539"/>
      <c r="R39" s="2539"/>
      <c r="S39" s="2540"/>
      <c r="T39" s="2539"/>
      <c r="U39" s="2539"/>
      <c r="V39" s="2539"/>
      <c r="W39" s="2539"/>
      <c r="X39" s="2539"/>
      <c r="Y39" s="2539"/>
      <c r="Z39" s="1182"/>
      <c r="AA39" s="1183"/>
      <c r="AB39" s="1248" t="s">
        <v>1055</v>
      </c>
      <c r="AC39" s="1187"/>
      <c r="AD39" s="1187"/>
      <c r="AE39" s="1189"/>
      <c r="AF39" s="2532"/>
      <c r="AG39" s="2533"/>
      <c r="AH39" s="2533"/>
      <c r="AI39" s="2532"/>
      <c r="AJ39" s="2533"/>
      <c r="AK39" s="2533"/>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11.25">
      <c r="A40" s="1173" t="s">
        <v>1020</v>
      </c>
      <c r="B40" s="1173"/>
      <c r="C40" s="1173"/>
      <c r="D40" s="1167"/>
      <c r="E40" s="1177"/>
      <c r="F40" s="1835"/>
      <c r="G40" s="1836"/>
      <c r="H40" s="2541" t="s">
        <v>109</v>
      </c>
      <c r="I40" s="2542"/>
      <c r="J40" s="2511"/>
      <c r="K40" s="2543"/>
      <c r="L40" s="2133"/>
      <c r="M40" s="2661"/>
      <c r="N40" s="1182"/>
      <c r="O40" s="1183"/>
      <c r="P40" s="1175" t="s">
        <v>1056</v>
      </c>
      <c r="Q40" s="1183"/>
      <c r="R40" s="1183"/>
      <c r="S40" s="1183"/>
      <c r="T40" s="1183"/>
      <c r="U40" s="1183"/>
      <c r="V40" s="1183"/>
      <c r="W40" s="1183"/>
      <c r="X40" s="1183"/>
      <c r="Y40" s="1183"/>
      <c r="Z40" s="1183"/>
      <c r="AA40" s="1183"/>
      <c r="AB40" s="1183"/>
      <c r="AC40" s="1183"/>
      <c r="AD40" s="1183"/>
      <c r="AE40" s="1190"/>
      <c r="AF40" s="2532"/>
      <c r="AG40" s="2533"/>
      <c r="AH40" s="2533"/>
      <c r="AI40" s="2532"/>
      <c r="AJ40" s="2533"/>
      <c r="AK40" s="2533"/>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12">
      <c r="A41" s="1173" t="s">
        <v>1020</v>
      </c>
      <c r="B41" s="1173"/>
      <c r="C41" s="1173"/>
      <c r="D41" s="1167"/>
      <c r="E41" s="1177"/>
      <c r="F41" s="2563"/>
      <c r="G41" s="1197"/>
      <c r="H41" s="1197"/>
      <c r="I41" s="2561" t="s">
        <v>1057</v>
      </c>
      <c r="J41" s="2561"/>
      <c r="K41" s="2561"/>
      <c r="L41" s="1180"/>
      <c r="M41" s="1180"/>
      <c r="N41" s="1181"/>
      <c r="O41" s="1181"/>
      <c r="P41" s="1181"/>
      <c r="Q41" s="1181"/>
      <c r="R41" s="1181"/>
      <c r="S41" s="1181"/>
      <c r="T41" s="1181"/>
      <c r="U41" s="1181"/>
      <c r="V41" s="1181"/>
      <c r="W41" s="1181"/>
      <c r="X41" s="1181"/>
      <c r="Y41" s="1181"/>
      <c r="Z41" s="1181"/>
      <c r="AA41" s="1181"/>
      <c r="AB41" s="1181"/>
      <c r="AC41" s="1181"/>
      <c r="AD41" s="1181"/>
      <c r="AE41" s="1181"/>
      <c r="AF41" s="1181"/>
      <c r="AG41" s="1180"/>
      <c r="AH41" s="1180"/>
      <c r="AI41" s="1181"/>
      <c r="AJ41" s="1180"/>
      <c r="AK41" s="1181"/>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0.75">
      <c r="A42" s="1173" t="s">
        <v>1020</v>
      </c>
      <c r="B42" s="1173"/>
      <c r="C42" s="1173"/>
      <c r="D42" s="1167"/>
      <c r="E42" s="1177"/>
      <c r="F42" s="2562">
        <v>2025</v>
      </c>
      <c r="G42" s="2541"/>
      <c r="H42" s="2566" t="s">
        <v>375</v>
      </c>
      <c r="I42" s="2567"/>
      <c r="J42" s="2568"/>
      <c r="K42" s="2568"/>
      <c r="L42" s="2560"/>
      <c r="M42" s="2294"/>
      <c r="N42" s="2040"/>
      <c r="O42" s="2039"/>
      <c r="P42" s="2040"/>
      <c r="Q42" s="2040"/>
      <c r="R42" s="2040"/>
      <c r="S42" s="2040"/>
      <c r="T42" s="2040"/>
      <c r="U42" s="2040"/>
      <c r="V42" s="2040"/>
      <c r="W42" s="2040"/>
      <c r="X42" s="2040"/>
      <c r="Y42" s="2040"/>
      <c r="Z42" s="2040"/>
      <c r="AA42" s="2040"/>
      <c r="AB42" s="2040"/>
      <c r="AC42" s="2040"/>
      <c r="AD42" s="2040"/>
      <c r="AE42" s="2040"/>
      <c r="AF42" s="2564"/>
      <c r="AG42" s="2560"/>
      <c r="AH42" s="2560"/>
      <c r="AI42" s="2564"/>
      <c r="AJ42" s="2560"/>
      <c r="AK42" s="2560"/>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0.75">
      <c r="A43" s="1173" t="s">
        <v>1020</v>
      </c>
      <c r="B43" s="1173"/>
      <c r="C43" s="1173"/>
      <c r="D43" s="1167"/>
      <c r="E43" s="1177"/>
      <c r="F43" s="2562"/>
      <c r="G43" s="2541"/>
      <c r="H43" s="2566"/>
      <c r="I43" s="2567"/>
      <c r="J43" s="2568"/>
      <c r="K43" s="2568"/>
      <c r="L43" s="2560"/>
      <c r="M43" s="2294"/>
      <c r="N43" s="2569"/>
      <c r="O43" s="2570"/>
      <c r="P43" s="2614"/>
      <c r="Q43" s="2565"/>
      <c r="R43" s="2565"/>
      <c r="S43" s="2565"/>
      <c r="T43" s="2565"/>
      <c r="U43" s="2565"/>
      <c r="V43" s="2565"/>
      <c r="W43" s="2565"/>
      <c r="X43" s="2565"/>
      <c r="Y43" s="2565"/>
      <c r="Z43" s="2041"/>
      <c r="AA43" s="2042"/>
      <c r="AB43" s="2042"/>
      <c r="AC43" s="2043"/>
      <c r="AD43" s="2043"/>
      <c r="AE43" s="2044"/>
      <c r="AF43" s="2564"/>
      <c r="AG43" s="2560"/>
      <c r="AH43" s="2560"/>
      <c r="AI43" s="2564"/>
      <c r="AJ43" s="2560"/>
      <c r="AK43" s="2560"/>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0.75">
      <c r="A44" s="1173" t="s">
        <v>1020</v>
      </c>
      <c r="B44" s="1173"/>
      <c r="C44" s="1173"/>
      <c r="D44" s="1167"/>
      <c r="E44" s="1177"/>
      <c r="F44" s="2562"/>
      <c r="G44" s="2541"/>
      <c r="H44" s="2566"/>
      <c r="I44" s="2567"/>
      <c r="J44" s="2568"/>
      <c r="K44" s="2568"/>
      <c r="L44" s="2560"/>
      <c r="M44" s="2294"/>
      <c r="N44" s="2569"/>
      <c r="O44" s="2570"/>
      <c r="P44" s="2615"/>
      <c r="Q44" s="2565"/>
      <c r="R44" s="2565"/>
      <c r="S44" s="2565"/>
      <c r="T44" s="2565"/>
      <c r="U44" s="2565"/>
      <c r="V44" s="2565"/>
      <c r="W44" s="2565"/>
      <c r="X44" s="2565"/>
      <c r="Y44" s="2565"/>
      <c r="Z44" s="2045"/>
      <c r="AA44" s="2046"/>
      <c r="AB44" s="2047"/>
      <c r="AC44" s="2048"/>
      <c r="AD44" s="2047"/>
      <c r="AE44" s="2048"/>
      <c r="AF44" s="2564"/>
      <c r="AG44" s="2560"/>
      <c r="AH44" s="2560"/>
      <c r="AI44" s="2564"/>
      <c r="AJ44" s="2560"/>
      <c r="AK44" s="2560"/>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0.75">
      <c r="A45" s="1173" t="s">
        <v>1020</v>
      </c>
      <c r="B45" s="1173"/>
      <c r="C45" s="1173"/>
      <c r="D45" s="1167"/>
      <c r="E45" s="1177"/>
      <c r="F45" s="2562"/>
      <c r="G45" s="2541"/>
      <c r="H45" s="2566"/>
      <c r="I45" s="2567"/>
      <c r="J45" s="2568"/>
      <c r="K45" s="2568"/>
      <c r="L45" s="2560"/>
      <c r="M45" s="2294"/>
      <c r="N45" s="2569"/>
      <c r="O45" s="2570"/>
      <c r="P45" s="2616"/>
      <c r="Q45" s="2565"/>
      <c r="R45" s="2565"/>
      <c r="S45" s="2565"/>
      <c r="T45" s="2565"/>
      <c r="U45" s="2565"/>
      <c r="V45" s="2565"/>
      <c r="W45" s="2565"/>
      <c r="X45" s="2565"/>
      <c r="Y45" s="2565"/>
      <c r="Z45" s="2041"/>
      <c r="AA45" s="2042"/>
      <c r="AB45" s="2049"/>
      <c r="AC45" s="2043"/>
      <c r="AD45" s="2043"/>
      <c r="AE45" s="2050"/>
      <c r="AF45" s="2564"/>
      <c r="AG45" s="2560"/>
      <c r="AH45" s="2560"/>
      <c r="AI45" s="2564"/>
      <c r="AJ45" s="2560"/>
      <c r="AK45" s="2560"/>
      <c r="AL45" s="1992"/>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2"/>
    </row>
    <row customHeight="1" ht="0.75">
      <c r="A46" s="1173" t="s">
        <v>1020</v>
      </c>
      <c r="B46" s="1173"/>
      <c r="C46" s="1173"/>
      <c r="D46" s="1167"/>
      <c r="E46" s="1177"/>
      <c r="F46" s="2562"/>
      <c r="G46" s="2541"/>
      <c r="H46" s="2566"/>
      <c r="I46" s="2567"/>
      <c r="J46" s="2568"/>
      <c r="K46" s="2568"/>
      <c r="L46" s="2560"/>
      <c r="M46" s="2294"/>
      <c r="N46" s="2042"/>
      <c r="O46" s="2042"/>
      <c r="P46" s="2049"/>
      <c r="Q46" s="2042"/>
      <c r="R46" s="2042"/>
      <c r="S46" s="2042"/>
      <c r="T46" s="2042"/>
      <c r="U46" s="2042"/>
      <c r="V46" s="2042"/>
      <c r="W46" s="2042"/>
      <c r="X46" s="2042"/>
      <c r="Y46" s="2042"/>
      <c r="Z46" s="2042"/>
      <c r="AA46" s="2042"/>
      <c r="AB46" s="2042"/>
      <c r="AC46" s="2042"/>
      <c r="AD46" s="2042"/>
      <c r="AE46" s="2051"/>
      <c r="AF46" s="2564"/>
      <c r="AG46" s="2560"/>
      <c r="AH46" s="2560"/>
      <c r="AI46" s="2564"/>
      <c r="AJ46" s="2560"/>
      <c r="AK46" s="2560"/>
      <c r="AL46" s="1992"/>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2"/>
    </row>
    <row customHeight="1" ht="11.25">
      <c r="A47" s="1173" t="s">
        <v>1020</v>
      </c>
      <c r="B47" s="1173"/>
      <c r="C47" s="1173"/>
      <c r="D47" s="1167"/>
      <c r="E47" s="1177"/>
      <c r="F47" s="1835"/>
      <c r="G47" s="690" t="s">
        <v>574</v>
      </c>
      <c r="H47" s="2541" t="s">
        <v>109</v>
      </c>
      <c r="I47" s="2542"/>
      <c r="J47" s="2511"/>
      <c r="K47" s="2543" t="s">
        <v>1052</v>
      </c>
      <c r="L47" s="2133" t="s">
        <v>19</v>
      </c>
      <c r="M47" s="2134"/>
      <c r="N47" s="1990"/>
      <c r="O47" s="1184" t="s">
        <v>375</v>
      </c>
      <c r="P47" s="1185"/>
      <c r="Q47" s="1185"/>
      <c r="R47" s="1185"/>
      <c r="S47" s="1185"/>
      <c r="T47" s="1185"/>
      <c r="U47" s="1185"/>
      <c r="V47" s="1185"/>
      <c r="W47" s="1185"/>
      <c r="X47" s="1185"/>
      <c r="Y47" s="1185"/>
      <c r="Z47" s="1185"/>
      <c r="AA47" s="1185"/>
      <c r="AB47" s="1185"/>
      <c r="AC47" s="1185"/>
      <c r="AD47" s="1185"/>
      <c r="AE47" s="1185"/>
      <c r="AF47" s="2532">
        <v>2029</v>
      </c>
      <c r="AG47" s="2533" t="s">
        <v>1053</v>
      </c>
      <c r="AH47" s="2533" t="s">
        <v>1053</v>
      </c>
      <c r="AI47" s="2660"/>
      <c r="AJ47" s="2533" t="s">
        <v>1053</v>
      </c>
      <c r="AK47" s="2533" t="s">
        <v>1053</v>
      </c>
      <c r="AL47" s="1992"/>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2"/>
    </row>
    <row customHeight="1" ht="11.25">
      <c r="A48" s="1173" t="s">
        <v>1020</v>
      </c>
      <c r="B48" s="1173"/>
      <c r="C48" s="1173"/>
      <c r="D48" s="1167"/>
      <c r="E48" s="1177"/>
      <c r="F48" s="1835"/>
      <c r="G48" s="1836"/>
      <c r="H48" s="2541" t="s">
        <v>375</v>
      </c>
      <c r="I48" s="2542"/>
      <c r="J48" s="2511"/>
      <c r="K48" s="2543"/>
      <c r="L48" s="2133"/>
      <c r="M48" s="2134"/>
      <c r="N48" s="2534"/>
      <c r="O48" s="2535">
        <v>1</v>
      </c>
      <c r="P48" s="2536" t="s">
        <v>19</v>
      </c>
      <c r="Q48" s="2539" t="s">
        <v>22</v>
      </c>
      <c r="R48" s="2539" t="s">
        <v>22</v>
      </c>
      <c r="S48" s="2539" t="s">
        <v>22</v>
      </c>
      <c r="T48" s="2539" t="s">
        <v>22</v>
      </c>
      <c r="U48" s="2539" t="s">
        <v>22</v>
      </c>
      <c r="V48" s="2539" t="s">
        <v>22</v>
      </c>
      <c r="W48" s="2539" t="s">
        <v>22</v>
      </c>
      <c r="X48" s="2539" t="s">
        <v>22</v>
      </c>
      <c r="Y48" s="2539"/>
      <c r="Z48" s="1182"/>
      <c r="AA48" s="1183"/>
      <c r="AB48" s="1183"/>
      <c r="AC48" s="1187"/>
      <c r="AD48" s="1187"/>
      <c r="AE48" s="1188"/>
      <c r="AF48" s="2532"/>
      <c r="AG48" s="2533"/>
      <c r="AH48" s="2533"/>
      <c r="AI48" s="2660"/>
      <c r="AJ48" s="2533"/>
      <c r="AK48" s="2533"/>
      <c r="AL48" s="1992"/>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2"/>
    </row>
    <row customHeight="1" ht="11.25">
      <c r="A49" s="1173" t="s">
        <v>1020</v>
      </c>
      <c r="B49" s="1173"/>
      <c r="C49" s="1173"/>
      <c r="D49" s="1167"/>
      <c r="E49" s="1177"/>
      <c r="F49" s="1835"/>
      <c r="G49" s="1836"/>
      <c r="H49" s="2541" t="s">
        <v>375</v>
      </c>
      <c r="I49" s="2542"/>
      <c r="J49" s="2511"/>
      <c r="K49" s="2543"/>
      <c r="L49" s="2133"/>
      <c r="M49" s="2134"/>
      <c r="N49" s="2534"/>
      <c r="O49" s="2535"/>
      <c r="P49" s="2537"/>
      <c r="Q49" s="2539"/>
      <c r="R49" s="2539"/>
      <c r="S49" s="2540"/>
      <c r="T49" s="2539"/>
      <c r="U49" s="2539"/>
      <c r="V49" s="2539"/>
      <c r="W49" s="2539"/>
      <c r="X49" s="2539"/>
      <c r="Y49" s="2539"/>
      <c r="Z49" s="1834"/>
      <c r="AA49" s="1800">
        <v>1</v>
      </c>
      <c r="AB49" s="1186" t="s">
        <v>1054</v>
      </c>
      <c r="AC49" s="1176">
        <v>663.42</v>
      </c>
      <c r="AD49" s="1186" t="str">
        <f>AB49</f>
        <v>  Прибыль направляемая на инвестиции</v>
      </c>
      <c r="AE49" s="1176">
        <v>663.42</v>
      </c>
      <c r="AF49" s="2532"/>
      <c r="AG49" s="2533"/>
      <c r="AH49" s="2533"/>
      <c r="AI49" s="2660"/>
      <c r="AJ49" s="2533"/>
      <c r="AK49" s="2533"/>
      <c r="AL49" s="1992"/>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2"/>
    </row>
    <row customHeight="1" ht="11.25">
      <c r="A50" s="1173" t="s">
        <v>1020</v>
      </c>
      <c r="B50" s="1173"/>
      <c r="C50" s="1173"/>
      <c r="D50" s="1167"/>
      <c r="E50" s="1177"/>
      <c r="F50" s="1835"/>
      <c r="G50" s="1836"/>
      <c r="H50" s="2541" t="s">
        <v>375</v>
      </c>
      <c r="I50" s="2542"/>
      <c r="J50" s="2511"/>
      <c r="K50" s="2543"/>
      <c r="L50" s="2133"/>
      <c r="M50" s="2134"/>
      <c r="N50" s="2534"/>
      <c r="O50" s="2535"/>
      <c r="P50" s="2538"/>
      <c r="Q50" s="2539"/>
      <c r="R50" s="2539"/>
      <c r="S50" s="2540"/>
      <c r="T50" s="2539"/>
      <c r="U50" s="2539"/>
      <c r="V50" s="2539"/>
      <c r="W50" s="2539"/>
      <c r="X50" s="2539"/>
      <c r="Y50" s="2539"/>
      <c r="Z50" s="1182"/>
      <c r="AA50" s="1183"/>
      <c r="AB50" s="1248" t="s">
        <v>1055</v>
      </c>
      <c r="AC50" s="1187"/>
      <c r="AD50" s="1187"/>
      <c r="AE50" s="1189"/>
      <c r="AF50" s="2532"/>
      <c r="AG50" s="2533"/>
      <c r="AH50" s="2533"/>
      <c r="AI50" s="2660"/>
      <c r="AJ50" s="2533"/>
      <c r="AK50" s="2533"/>
      <c r="AL50" s="1992"/>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2"/>
    </row>
    <row customHeight="1" ht="11.25">
      <c r="A51" s="1173" t="s">
        <v>1020</v>
      </c>
      <c r="B51" s="1173"/>
      <c r="C51" s="1173"/>
      <c r="D51" s="1167"/>
      <c r="E51" s="1177"/>
      <c r="F51" s="1835"/>
      <c r="G51" s="1836"/>
      <c r="H51" s="2541" t="s">
        <v>375</v>
      </c>
      <c r="I51" s="2542"/>
      <c r="J51" s="2511"/>
      <c r="K51" s="2543"/>
      <c r="L51" s="2133"/>
      <c r="M51" s="2134"/>
      <c r="N51" s="1182"/>
      <c r="O51" s="1183"/>
      <c r="P51" s="1175" t="s">
        <v>1056</v>
      </c>
      <c r="Q51" s="1183"/>
      <c r="R51" s="1183"/>
      <c r="S51" s="1183"/>
      <c r="T51" s="1183"/>
      <c r="U51" s="1183"/>
      <c r="V51" s="1183"/>
      <c r="W51" s="1183"/>
      <c r="X51" s="1183"/>
      <c r="Y51" s="1183"/>
      <c r="Z51" s="1183"/>
      <c r="AA51" s="1183"/>
      <c r="AB51" s="1183"/>
      <c r="AC51" s="1183"/>
      <c r="AD51" s="1183"/>
      <c r="AE51" s="1190"/>
      <c r="AF51" s="2532"/>
      <c r="AG51" s="2533"/>
      <c r="AH51" s="2533"/>
      <c r="AI51" s="2660"/>
      <c r="AJ51" s="2533"/>
      <c r="AK51" s="2533"/>
      <c r="AL51" s="1992"/>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2"/>
    </row>
    <row customHeight="1" ht="12">
      <c r="A52" s="1173" t="s">
        <v>1020</v>
      </c>
      <c r="B52" s="1173"/>
      <c r="C52" s="1173"/>
      <c r="D52" s="1167"/>
      <c r="E52" s="1177"/>
      <c r="F52" s="2563"/>
      <c r="G52" s="1197"/>
      <c r="H52" s="1197"/>
      <c r="I52" s="2561" t="s">
        <v>1057</v>
      </c>
      <c r="J52" s="2561"/>
      <c r="K52" s="2561"/>
      <c r="L52" s="1180"/>
      <c r="M52" s="1180"/>
      <c r="N52" s="1181"/>
      <c r="O52" s="1181"/>
      <c r="P52" s="1181"/>
      <c r="Q52" s="1181"/>
      <c r="R52" s="1181"/>
      <c r="S52" s="1181"/>
      <c r="T52" s="1181"/>
      <c r="U52" s="1181"/>
      <c r="V52" s="1181"/>
      <c r="W52" s="1181"/>
      <c r="X52" s="1181"/>
      <c r="Y52" s="1181"/>
      <c r="Z52" s="1181"/>
      <c r="AA52" s="1181"/>
      <c r="AB52" s="1181"/>
      <c r="AC52" s="1181"/>
      <c r="AD52" s="1181"/>
      <c r="AE52" s="1181"/>
      <c r="AF52" s="1181"/>
      <c r="AG52" s="1180"/>
      <c r="AH52" s="1180"/>
      <c r="AI52" s="1181"/>
      <c r="AJ52" s="1180"/>
      <c r="AK52" s="1181"/>
      <c r="AL52" s="1992"/>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2"/>
    </row>
    <row customHeight="1" ht="0.75">
      <c r="A53" s="1173" t="s">
        <v>1020</v>
      </c>
      <c r="B53" s="1173"/>
      <c r="C53" s="1173"/>
      <c r="D53" s="1167"/>
      <c r="E53" s="1177"/>
      <c r="F53" s="2562">
        <v>2026</v>
      </c>
      <c r="G53" s="2541"/>
      <c r="H53" s="2566" t="s">
        <v>375</v>
      </c>
      <c r="I53" s="2567"/>
      <c r="J53" s="2568"/>
      <c r="K53" s="2568"/>
      <c r="L53" s="2560"/>
      <c r="M53" s="2294"/>
      <c r="N53" s="2040"/>
      <c r="O53" s="2039"/>
      <c r="P53" s="2040"/>
      <c r="Q53" s="2040"/>
      <c r="R53" s="2040"/>
      <c r="S53" s="2040"/>
      <c r="T53" s="2040"/>
      <c r="U53" s="2040"/>
      <c r="V53" s="2040"/>
      <c r="W53" s="2040"/>
      <c r="X53" s="2040"/>
      <c r="Y53" s="2040"/>
      <c r="Z53" s="2040"/>
      <c r="AA53" s="2040"/>
      <c r="AB53" s="2040"/>
      <c r="AC53" s="2040"/>
      <c r="AD53" s="2040"/>
      <c r="AE53" s="2040"/>
      <c r="AF53" s="2564"/>
      <c r="AG53" s="2560"/>
      <c r="AH53" s="2560"/>
      <c r="AI53" s="2564"/>
      <c r="AJ53" s="2560"/>
      <c r="AK53" s="2560"/>
      <c r="AL53" s="1992"/>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2"/>
    </row>
    <row customHeight="1" ht="0.75">
      <c r="A54" s="1173" t="s">
        <v>1020</v>
      </c>
      <c r="B54" s="1173"/>
      <c r="C54" s="1173"/>
      <c r="D54" s="1167"/>
      <c r="E54" s="1177"/>
      <c r="F54" s="2562"/>
      <c r="G54" s="2541"/>
      <c r="H54" s="2566"/>
      <c r="I54" s="2567"/>
      <c r="J54" s="2568"/>
      <c r="K54" s="2568"/>
      <c r="L54" s="2560"/>
      <c r="M54" s="2294"/>
      <c r="N54" s="2569"/>
      <c r="O54" s="2570"/>
      <c r="P54" s="2614"/>
      <c r="Q54" s="2565"/>
      <c r="R54" s="2565"/>
      <c r="S54" s="2565"/>
      <c r="T54" s="2565"/>
      <c r="U54" s="2565"/>
      <c r="V54" s="2565"/>
      <c r="W54" s="2565"/>
      <c r="X54" s="2565"/>
      <c r="Y54" s="2565"/>
      <c r="Z54" s="2041"/>
      <c r="AA54" s="2042"/>
      <c r="AB54" s="2042"/>
      <c r="AC54" s="2043"/>
      <c r="AD54" s="2043"/>
      <c r="AE54" s="2044"/>
      <c r="AF54" s="2564"/>
      <c r="AG54" s="2560"/>
      <c r="AH54" s="2560"/>
      <c r="AI54" s="2564"/>
      <c r="AJ54" s="2560"/>
      <c r="AK54" s="2560"/>
      <c r="AL54" s="1992"/>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2"/>
    </row>
    <row customHeight="1" ht="0.75">
      <c r="A55" s="1173" t="s">
        <v>1020</v>
      </c>
      <c r="B55" s="1173"/>
      <c r="C55" s="1173"/>
      <c r="D55" s="1167"/>
      <c r="E55" s="1177"/>
      <c r="F55" s="2562"/>
      <c r="G55" s="2541"/>
      <c r="H55" s="2566"/>
      <c r="I55" s="2567"/>
      <c r="J55" s="2568"/>
      <c r="K55" s="2568"/>
      <c r="L55" s="2560"/>
      <c r="M55" s="2294"/>
      <c r="N55" s="2569"/>
      <c r="O55" s="2570"/>
      <c r="P55" s="2615"/>
      <c r="Q55" s="2565"/>
      <c r="R55" s="2565"/>
      <c r="S55" s="2565"/>
      <c r="T55" s="2565"/>
      <c r="U55" s="2565"/>
      <c r="V55" s="2565"/>
      <c r="W55" s="2565"/>
      <c r="X55" s="2565"/>
      <c r="Y55" s="2565"/>
      <c r="Z55" s="2045"/>
      <c r="AA55" s="2046"/>
      <c r="AB55" s="2047"/>
      <c r="AC55" s="2048"/>
      <c r="AD55" s="2047"/>
      <c r="AE55" s="2048"/>
      <c r="AF55" s="2564"/>
      <c r="AG55" s="2560"/>
      <c r="AH55" s="2560"/>
      <c r="AI55" s="2564"/>
      <c r="AJ55" s="2560"/>
      <c r="AK55" s="2560"/>
      <c r="AL55" s="1992"/>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2"/>
    </row>
    <row customHeight="1" ht="0.75">
      <c r="A56" s="1173" t="s">
        <v>1020</v>
      </c>
      <c r="B56" s="1173"/>
      <c r="C56" s="1173"/>
      <c r="D56" s="1167"/>
      <c r="E56" s="1177"/>
      <c r="F56" s="2562"/>
      <c r="G56" s="2541"/>
      <c r="H56" s="2566"/>
      <c r="I56" s="2567"/>
      <c r="J56" s="2568"/>
      <c r="K56" s="2568"/>
      <c r="L56" s="2560"/>
      <c r="M56" s="2294"/>
      <c r="N56" s="2569"/>
      <c r="O56" s="2570"/>
      <c r="P56" s="2616"/>
      <c r="Q56" s="2565"/>
      <c r="R56" s="2565"/>
      <c r="S56" s="2565"/>
      <c r="T56" s="2565"/>
      <c r="U56" s="2565"/>
      <c r="V56" s="2565"/>
      <c r="W56" s="2565"/>
      <c r="X56" s="2565"/>
      <c r="Y56" s="2565"/>
      <c r="Z56" s="2041"/>
      <c r="AA56" s="2042"/>
      <c r="AB56" s="2049"/>
      <c r="AC56" s="2043"/>
      <c r="AD56" s="2043"/>
      <c r="AE56" s="2050"/>
      <c r="AF56" s="2564"/>
      <c r="AG56" s="2560"/>
      <c r="AH56" s="2560"/>
      <c r="AI56" s="2564"/>
      <c r="AJ56" s="2560"/>
      <c r="AK56" s="2560"/>
      <c r="AL56" s="1992"/>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2"/>
    </row>
    <row customHeight="1" ht="0.75">
      <c r="A57" s="1173" t="s">
        <v>1020</v>
      </c>
      <c r="B57" s="1173"/>
      <c r="C57" s="1173"/>
      <c r="D57" s="1167"/>
      <c r="E57" s="1177"/>
      <c r="F57" s="2562"/>
      <c r="G57" s="2541"/>
      <c r="H57" s="2566"/>
      <c r="I57" s="2567"/>
      <c r="J57" s="2568"/>
      <c r="K57" s="2568"/>
      <c r="L57" s="2560"/>
      <c r="M57" s="2294"/>
      <c r="N57" s="2042"/>
      <c r="O57" s="2042"/>
      <c r="P57" s="2049"/>
      <c r="Q57" s="2042"/>
      <c r="R57" s="2042"/>
      <c r="S57" s="2042"/>
      <c r="T57" s="2042"/>
      <c r="U57" s="2042"/>
      <c r="V57" s="2042"/>
      <c r="W57" s="2042"/>
      <c r="X57" s="2042"/>
      <c r="Y57" s="2042"/>
      <c r="Z57" s="2042"/>
      <c r="AA57" s="2042"/>
      <c r="AB57" s="2042"/>
      <c r="AC57" s="2042"/>
      <c r="AD57" s="2042"/>
      <c r="AE57" s="2051"/>
      <c r="AF57" s="2564"/>
      <c r="AG57" s="2560"/>
      <c r="AH57" s="2560"/>
      <c r="AI57" s="2564"/>
      <c r="AJ57" s="2560"/>
      <c r="AK57" s="2560"/>
      <c r="AL57" s="1992"/>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2"/>
    </row>
    <row customHeight="1" ht="11.25">
      <c r="A58" s="1173" t="s">
        <v>1020</v>
      </c>
      <c r="B58" s="1173"/>
      <c r="C58" s="1173"/>
      <c r="D58" s="1167"/>
      <c r="E58" s="1177"/>
      <c r="F58" s="1835"/>
      <c r="G58" s="690" t="s">
        <v>574</v>
      </c>
      <c r="H58" s="2541" t="s">
        <v>109</v>
      </c>
      <c r="I58" s="2542"/>
      <c r="J58" s="2511"/>
      <c r="K58" s="2543" t="s">
        <v>1052</v>
      </c>
      <c r="L58" s="2133" t="s">
        <v>19</v>
      </c>
      <c r="M58" s="2134"/>
      <c r="N58" s="1990"/>
      <c r="O58" s="1184" t="s">
        <v>375</v>
      </c>
      <c r="P58" s="1185"/>
      <c r="Q58" s="1185"/>
      <c r="R58" s="1185"/>
      <c r="S58" s="1185"/>
      <c r="T58" s="1185"/>
      <c r="U58" s="1185"/>
      <c r="V58" s="1185"/>
      <c r="W58" s="1185"/>
      <c r="X58" s="1185"/>
      <c r="Y58" s="1185"/>
      <c r="Z58" s="1185"/>
      <c r="AA58" s="1185"/>
      <c r="AB58" s="1185"/>
      <c r="AC58" s="1185"/>
      <c r="AD58" s="1185"/>
      <c r="AE58" s="1185"/>
      <c r="AF58" s="2532">
        <v>2029</v>
      </c>
      <c r="AG58" s="2533" t="s">
        <v>1053</v>
      </c>
      <c r="AH58" s="2533" t="s">
        <v>1053</v>
      </c>
      <c r="AI58" s="2660"/>
      <c r="AJ58" s="2533" t="s">
        <v>1053</v>
      </c>
      <c r="AK58" s="2533" t="s">
        <v>1053</v>
      </c>
      <c r="AL58" s="1992"/>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2"/>
    </row>
    <row customHeight="1" ht="11.25">
      <c r="A59" s="1173" t="s">
        <v>1020</v>
      </c>
      <c r="B59" s="1173"/>
      <c r="C59" s="1173"/>
      <c r="D59" s="1167"/>
      <c r="E59" s="1177"/>
      <c r="F59" s="1835"/>
      <c r="G59" s="1836"/>
      <c r="H59" s="2541" t="s">
        <v>375</v>
      </c>
      <c r="I59" s="2542"/>
      <c r="J59" s="2511"/>
      <c r="K59" s="2543"/>
      <c r="L59" s="2133"/>
      <c r="M59" s="2134"/>
      <c r="N59" s="2534"/>
      <c r="O59" s="2535">
        <v>1</v>
      </c>
      <c r="P59" s="2536" t="s">
        <v>19</v>
      </c>
      <c r="Q59" s="2539" t="s">
        <v>22</v>
      </c>
      <c r="R59" s="2539" t="s">
        <v>22</v>
      </c>
      <c r="S59" s="2539" t="s">
        <v>22</v>
      </c>
      <c r="T59" s="2539" t="s">
        <v>22</v>
      </c>
      <c r="U59" s="2539" t="s">
        <v>22</v>
      </c>
      <c r="V59" s="2539" t="s">
        <v>22</v>
      </c>
      <c r="W59" s="2539" t="s">
        <v>22</v>
      </c>
      <c r="X59" s="2539" t="s">
        <v>22</v>
      </c>
      <c r="Y59" s="2539"/>
      <c r="Z59" s="1182"/>
      <c r="AA59" s="1183"/>
      <c r="AB59" s="1183"/>
      <c r="AC59" s="1187"/>
      <c r="AD59" s="1187"/>
      <c r="AE59" s="1188"/>
      <c r="AF59" s="2532"/>
      <c r="AG59" s="2533"/>
      <c r="AH59" s="2533"/>
      <c r="AI59" s="2660"/>
      <c r="AJ59" s="2533"/>
      <c r="AK59" s="2533"/>
      <c r="AL59" s="1992"/>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2"/>
    </row>
    <row customHeight="1" ht="11.25">
      <c r="A60" s="1173" t="s">
        <v>1020</v>
      </c>
      <c r="B60" s="1173"/>
      <c r="C60" s="1173"/>
      <c r="D60" s="1167"/>
      <c r="E60" s="1177"/>
      <c r="F60" s="1835"/>
      <c r="G60" s="1836"/>
      <c r="H60" s="2541" t="s">
        <v>375</v>
      </c>
      <c r="I60" s="2542"/>
      <c r="J60" s="2511"/>
      <c r="K60" s="2543"/>
      <c r="L60" s="2133"/>
      <c r="M60" s="2134"/>
      <c r="N60" s="2534"/>
      <c r="O60" s="2535"/>
      <c r="P60" s="2537"/>
      <c r="Q60" s="2539"/>
      <c r="R60" s="2539"/>
      <c r="S60" s="2540"/>
      <c r="T60" s="2539"/>
      <c r="U60" s="2539"/>
      <c r="V60" s="2539"/>
      <c r="W60" s="2539"/>
      <c r="X60" s="2539"/>
      <c r="Y60" s="2539"/>
      <c r="Z60" s="1834"/>
      <c r="AA60" s="1800">
        <v>1</v>
      </c>
      <c r="AB60" s="1186" t="s">
        <v>1054</v>
      </c>
      <c r="AC60" s="1176">
        <v>663.42</v>
      </c>
      <c r="AD60" s="1186" t="str">
        <f>AB60</f>
        <v>  Прибыль направляемая на инвестиции</v>
      </c>
      <c r="AE60" s="1176">
        <v>0</v>
      </c>
      <c r="AF60" s="2532"/>
      <c r="AG60" s="2533"/>
      <c r="AH60" s="2533"/>
      <c r="AI60" s="2660"/>
      <c r="AJ60" s="2533"/>
      <c r="AK60" s="2533"/>
      <c r="AL60" s="1992"/>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2"/>
    </row>
    <row customHeight="1" ht="11.25">
      <c r="A61" s="1173" t="s">
        <v>1020</v>
      </c>
      <c r="B61" s="1173"/>
      <c r="C61" s="1173"/>
      <c r="D61" s="1167"/>
      <c r="E61" s="1177"/>
      <c r="F61" s="1835"/>
      <c r="G61" s="1836"/>
      <c r="H61" s="2541" t="s">
        <v>375</v>
      </c>
      <c r="I61" s="2542"/>
      <c r="J61" s="2511"/>
      <c r="K61" s="2543"/>
      <c r="L61" s="2133"/>
      <c r="M61" s="2134"/>
      <c r="N61" s="2534"/>
      <c r="O61" s="2535"/>
      <c r="P61" s="2538"/>
      <c r="Q61" s="2539"/>
      <c r="R61" s="2539"/>
      <c r="S61" s="2540"/>
      <c r="T61" s="2539"/>
      <c r="U61" s="2539"/>
      <c r="V61" s="2539"/>
      <c r="W61" s="2539"/>
      <c r="X61" s="2539"/>
      <c r="Y61" s="2539"/>
      <c r="Z61" s="1182"/>
      <c r="AA61" s="1183"/>
      <c r="AB61" s="1248" t="s">
        <v>1055</v>
      </c>
      <c r="AC61" s="1187"/>
      <c r="AD61" s="1187"/>
      <c r="AE61" s="1189"/>
      <c r="AF61" s="2532"/>
      <c r="AG61" s="2533"/>
      <c r="AH61" s="2533"/>
      <c r="AI61" s="2660"/>
      <c r="AJ61" s="2533"/>
      <c r="AK61" s="2533"/>
      <c r="AL61" s="1992"/>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2"/>
    </row>
    <row customHeight="1" ht="11.25">
      <c r="A62" s="1173" t="s">
        <v>1020</v>
      </c>
      <c r="B62" s="1173"/>
      <c r="C62" s="1173"/>
      <c r="D62" s="1167"/>
      <c r="E62" s="1177"/>
      <c r="F62" s="1835"/>
      <c r="G62" s="1836"/>
      <c r="H62" s="2541" t="s">
        <v>375</v>
      </c>
      <c r="I62" s="2542"/>
      <c r="J62" s="2511"/>
      <c r="K62" s="2543"/>
      <c r="L62" s="2133"/>
      <c r="M62" s="2134"/>
      <c r="N62" s="1182"/>
      <c r="O62" s="1183"/>
      <c r="P62" s="1175" t="s">
        <v>1056</v>
      </c>
      <c r="Q62" s="1183"/>
      <c r="R62" s="1183"/>
      <c r="S62" s="1183"/>
      <c r="T62" s="1183"/>
      <c r="U62" s="1183"/>
      <c r="V62" s="1183"/>
      <c r="W62" s="1183"/>
      <c r="X62" s="1183"/>
      <c r="Y62" s="1183"/>
      <c r="Z62" s="1183"/>
      <c r="AA62" s="1183"/>
      <c r="AB62" s="1183"/>
      <c r="AC62" s="1183"/>
      <c r="AD62" s="1183"/>
      <c r="AE62" s="1190"/>
      <c r="AF62" s="2532"/>
      <c r="AG62" s="2533"/>
      <c r="AH62" s="2533"/>
      <c r="AI62" s="2660"/>
      <c r="AJ62" s="2533"/>
      <c r="AK62" s="2533"/>
      <c r="AL62" s="1992"/>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2"/>
    </row>
    <row customHeight="1" ht="12">
      <c r="A63" s="1173" t="s">
        <v>1020</v>
      </c>
      <c r="B63" s="1173"/>
      <c r="C63" s="1173"/>
      <c r="D63" s="1167"/>
      <c r="E63" s="1177"/>
      <c r="F63" s="2563"/>
      <c r="G63" s="1197"/>
      <c r="H63" s="1197"/>
      <c r="I63" s="2561" t="s">
        <v>1057</v>
      </c>
      <c r="J63" s="2561"/>
      <c r="K63" s="2561"/>
      <c r="L63" s="1180"/>
      <c r="M63" s="1180"/>
      <c r="N63" s="1181"/>
      <c r="O63" s="1181"/>
      <c r="P63" s="1181"/>
      <c r="Q63" s="1181"/>
      <c r="R63" s="1181"/>
      <c r="S63" s="1181"/>
      <c r="T63" s="1181"/>
      <c r="U63" s="1181"/>
      <c r="V63" s="1181"/>
      <c r="W63" s="1181"/>
      <c r="X63" s="1181"/>
      <c r="Y63" s="1181"/>
      <c r="Z63" s="1181"/>
      <c r="AA63" s="1181"/>
      <c r="AB63" s="1181"/>
      <c r="AC63" s="1181"/>
      <c r="AD63" s="1181"/>
      <c r="AE63" s="1181"/>
      <c r="AF63" s="1181"/>
      <c r="AG63" s="1180"/>
      <c r="AH63" s="1180"/>
      <c r="AI63" s="1181"/>
      <c r="AJ63" s="1180"/>
      <c r="AK63" s="1181"/>
      <c r="AL63" s="1992"/>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2"/>
    </row>
    <row customHeight="1" ht="0.75">
      <c r="A64" s="1173" t="s">
        <v>1020</v>
      </c>
      <c r="B64" s="1173"/>
      <c r="C64" s="1173"/>
      <c r="D64" s="1167"/>
      <c r="E64" s="1177"/>
      <c r="F64" s="2562">
        <v>2027</v>
      </c>
      <c r="G64" s="2541"/>
      <c r="H64" s="2566" t="s">
        <v>375</v>
      </c>
      <c r="I64" s="2567"/>
      <c r="J64" s="2568"/>
      <c r="K64" s="2568"/>
      <c r="L64" s="2560"/>
      <c r="M64" s="2294"/>
      <c r="N64" s="2040"/>
      <c r="O64" s="2039"/>
      <c r="P64" s="2040"/>
      <c r="Q64" s="2040"/>
      <c r="R64" s="2040"/>
      <c r="S64" s="2040"/>
      <c r="T64" s="2040"/>
      <c r="U64" s="2040"/>
      <c r="V64" s="2040"/>
      <c r="W64" s="2040"/>
      <c r="X64" s="2040"/>
      <c r="Y64" s="2040"/>
      <c r="Z64" s="2040"/>
      <c r="AA64" s="2040"/>
      <c r="AB64" s="2040"/>
      <c r="AC64" s="2040"/>
      <c r="AD64" s="2040"/>
      <c r="AE64" s="2040"/>
      <c r="AF64" s="2564"/>
      <c r="AG64" s="2560"/>
      <c r="AH64" s="2560"/>
      <c r="AI64" s="2564"/>
      <c r="AJ64" s="2560"/>
      <c r="AK64" s="2560"/>
      <c r="AL64" s="1992"/>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2"/>
    </row>
    <row customHeight="1" ht="0.75">
      <c r="A65" s="1173" t="s">
        <v>1020</v>
      </c>
      <c r="B65" s="1173"/>
      <c r="C65" s="1173"/>
      <c r="D65" s="1167"/>
      <c r="E65" s="1177"/>
      <c r="F65" s="2562"/>
      <c r="G65" s="2541"/>
      <c r="H65" s="2566"/>
      <c r="I65" s="2567"/>
      <c r="J65" s="2568"/>
      <c r="K65" s="2568"/>
      <c r="L65" s="2560"/>
      <c r="M65" s="2294"/>
      <c r="N65" s="2569"/>
      <c r="O65" s="2570"/>
      <c r="P65" s="2614"/>
      <c r="Q65" s="2565"/>
      <c r="R65" s="2565"/>
      <c r="S65" s="2565"/>
      <c r="T65" s="2565"/>
      <c r="U65" s="2565"/>
      <c r="V65" s="2565"/>
      <c r="W65" s="2565"/>
      <c r="X65" s="2565"/>
      <c r="Y65" s="2565"/>
      <c r="Z65" s="2041"/>
      <c r="AA65" s="2042"/>
      <c r="AB65" s="2042"/>
      <c r="AC65" s="2043"/>
      <c r="AD65" s="2043"/>
      <c r="AE65" s="2044"/>
      <c r="AF65" s="2564"/>
      <c r="AG65" s="2560"/>
      <c r="AH65" s="2560"/>
      <c r="AI65" s="2564"/>
      <c r="AJ65" s="2560"/>
      <c r="AK65" s="2560"/>
      <c r="AL65" s="1992"/>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2"/>
    </row>
    <row customHeight="1" ht="0.75">
      <c r="A66" s="1173" t="s">
        <v>1020</v>
      </c>
      <c r="B66" s="1173"/>
      <c r="C66" s="1173"/>
      <c r="D66" s="1167"/>
      <c r="E66" s="1177"/>
      <c r="F66" s="2562"/>
      <c r="G66" s="2541"/>
      <c r="H66" s="2566"/>
      <c r="I66" s="2567"/>
      <c r="J66" s="2568"/>
      <c r="K66" s="2568"/>
      <c r="L66" s="2560"/>
      <c r="M66" s="2294"/>
      <c r="N66" s="2569"/>
      <c r="O66" s="2570"/>
      <c r="P66" s="2615"/>
      <c r="Q66" s="2565"/>
      <c r="R66" s="2565"/>
      <c r="S66" s="2565"/>
      <c r="T66" s="2565"/>
      <c r="U66" s="2565"/>
      <c r="V66" s="2565"/>
      <c r="W66" s="2565"/>
      <c r="X66" s="2565"/>
      <c r="Y66" s="2565"/>
      <c r="Z66" s="2045"/>
      <c r="AA66" s="2046"/>
      <c r="AB66" s="2047"/>
      <c r="AC66" s="2048"/>
      <c r="AD66" s="2047"/>
      <c r="AE66" s="2048"/>
      <c r="AF66" s="2564"/>
      <c r="AG66" s="2560"/>
      <c r="AH66" s="2560"/>
      <c r="AI66" s="2564"/>
      <c r="AJ66" s="2560"/>
      <c r="AK66" s="2560"/>
      <c r="AL66" s="1992"/>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2"/>
    </row>
    <row customHeight="1" ht="0.75">
      <c r="A67" s="1173" t="s">
        <v>1020</v>
      </c>
      <c r="B67" s="1173"/>
      <c r="C67" s="1173"/>
      <c r="D67" s="1167"/>
      <c r="E67" s="1177"/>
      <c r="F67" s="2562"/>
      <c r="G67" s="2541"/>
      <c r="H67" s="2566"/>
      <c r="I67" s="2567"/>
      <c r="J67" s="2568"/>
      <c r="K67" s="2568"/>
      <c r="L67" s="2560"/>
      <c r="M67" s="2294"/>
      <c r="N67" s="2569"/>
      <c r="O67" s="2570"/>
      <c r="P67" s="2616"/>
      <c r="Q67" s="2565"/>
      <c r="R67" s="2565"/>
      <c r="S67" s="2565"/>
      <c r="T67" s="2565"/>
      <c r="U67" s="2565"/>
      <c r="V67" s="2565"/>
      <c r="W67" s="2565"/>
      <c r="X67" s="2565"/>
      <c r="Y67" s="2565"/>
      <c r="Z67" s="2041"/>
      <c r="AA67" s="2042"/>
      <c r="AB67" s="2049"/>
      <c r="AC67" s="2043"/>
      <c r="AD67" s="2043"/>
      <c r="AE67" s="2050"/>
      <c r="AF67" s="2564"/>
      <c r="AG67" s="2560"/>
      <c r="AH67" s="2560"/>
      <c r="AI67" s="2564"/>
      <c r="AJ67" s="2560"/>
      <c r="AK67" s="2560"/>
      <c r="AL67" s="1992"/>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2"/>
    </row>
    <row customHeight="1" ht="0.75">
      <c r="A68" s="1173" t="s">
        <v>1020</v>
      </c>
      <c r="B68" s="1173"/>
      <c r="C68" s="1173"/>
      <c r="D68" s="1167"/>
      <c r="E68" s="1177"/>
      <c r="F68" s="2562"/>
      <c r="G68" s="2541"/>
      <c r="H68" s="2566"/>
      <c r="I68" s="2567"/>
      <c r="J68" s="2568"/>
      <c r="K68" s="2568"/>
      <c r="L68" s="2560"/>
      <c r="M68" s="2294"/>
      <c r="N68" s="2042"/>
      <c r="O68" s="2042"/>
      <c r="P68" s="2049"/>
      <c r="Q68" s="2042"/>
      <c r="R68" s="2042"/>
      <c r="S68" s="2042"/>
      <c r="T68" s="2042"/>
      <c r="U68" s="2042"/>
      <c r="V68" s="2042"/>
      <c r="W68" s="2042"/>
      <c r="X68" s="2042"/>
      <c r="Y68" s="2042"/>
      <c r="Z68" s="2042"/>
      <c r="AA68" s="2042"/>
      <c r="AB68" s="2042"/>
      <c r="AC68" s="2042"/>
      <c r="AD68" s="2042"/>
      <c r="AE68" s="2051"/>
      <c r="AF68" s="2564"/>
      <c r="AG68" s="2560"/>
      <c r="AH68" s="2560"/>
      <c r="AI68" s="2564"/>
      <c r="AJ68" s="2560"/>
      <c r="AK68" s="2560"/>
      <c r="AL68" s="1992"/>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2"/>
    </row>
    <row customHeight="1" ht="11.25">
      <c r="A69" s="1173" t="s">
        <v>1020</v>
      </c>
      <c r="B69" s="1173"/>
      <c r="C69" s="1173"/>
      <c r="D69" s="1167"/>
      <c r="E69" s="1177"/>
      <c r="F69" s="1835"/>
      <c r="G69" s="690" t="s">
        <v>574</v>
      </c>
      <c r="H69" s="2541" t="s">
        <v>109</v>
      </c>
      <c r="I69" s="2542"/>
      <c r="J69" s="2511"/>
      <c r="K69" s="2543" t="s">
        <v>1052</v>
      </c>
      <c r="L69" s="2133" t="s">
        <v>19</v>
      </c>
      <c r="M69" s="2134"/>
      <c r="N69" s="1990"/>
      <c r="O69" s="1184" t="s">
        <v>375</v>
      </c>
      <c r="P69" s="1185"/>
      <c r="Q69" s="1185"/>
      <c r="R69" s="1185"/>
      <c r="S69" s="1185"/>
      <c r="T69" s="1185"/>
      <c r="U69" s="1185"/>
      <c r="V69" s="1185"/>
      <c r="W69" s="1185"/>
      <c r="X69" s="1185"/>
      <c r="Y69" s="1185"/>
      <c r="Z69" s="1185"/>
      <c r="AA69" s="1185"/>
      <c r="AB69" s="1185"/>
      <c r="AC69" s="1185"/>
      <c r="AD69" s="1185"/>
      <c r="AE69" s="1185"/>
      <c r="AF69" s="2532">
        <v>2029</v>
      </c>
      <c r="AG69" s="2533" t="s">
        <v>1053</v>
      </c>
      <c r="AH69" s="2533" t="s">
        <v>1053</v>
      </c>
      <c r="AI69" s="2660"/>
      <c r="AJ69" s="2533" t="s">
        <v>1053</v>
      </c>
      <c r="AK69" s="2533" t="s">
        <v>1053</v>
      </c>
      <c r="AL69" s="1992"/>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2"/>
    </row>
    <row customHeight="1" ht="11.25">
      <c r="A70" s="1173" t="s">
        <v>1020</v>
      </c>
      <c r="B70" s="1173"/>
      <c r="C70" s="1173"/>
      <c r="D70" s="1167"/>
      <c r="E70" s="1177"/>
      <c r="F70" s="1835"/>
      <c r="G70" s="1836"/>
      <c r="H70" s="2541" t="s">
        <v>375</v>
      </c>
      <c r="I70" s="2542"/>
      <c r="J70" s="2511"/>
      <c r="K70" s="2543"/>
      <c r="L70" s="2133"/>
      <c r="M70" s="2134"/>
      <c r="N70" s="2534"/>
      <c r="O70" s="2535">
        <v>1</v>
      </c>
      <c r="P70" s="2536" t="s">
        <v>19</v>
      </c>
      <c r="Q70" s="2539" t="s">
        <v>22</v>
      </c>
      <c r="R70" s="2539" t="s">
        <v>22</v>
      </c>
      <c r="S70" s="2539" t="s">
        <v>22</v>
      </c>
      <c r="T70" s="2539" t="s">
        <v>22</v>
      </c>
      <c r="U70" s="2539" t="s">
        <v>22</v>
      </c>
      <c r="V70" s="2539" t="s">
        <v>22</v>
      </c>
      <c r="W70" s="2539" t="s">
        <v>22</v>
      </c>
      <c r="X70" s="2539" t="s">
        <v>22</v>
      </c>
      <c r="Y70" s="2539"/>
      <c r="Z70" s="1182"/>
      <c r="AA70" s="1183"/>
      <c r="AB70" s="1183"/>
      <c r="AC70" s="1187"/>
      <c r="AD70" s="1187"/>
      <c r="AE70" s="1188"/>
      <c r="AF70" s="2532"/>
      <c r="AG70" s="2533"/>
      <c r="AH70" s="2533"/>
      <c r="AI70" s="2660"/>
      <c r="AJ70" s="2533"/>
      <c r="AK70" s="2533"/>
      <c r="AL70" s="1992"/>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2"/>
    </row>
    <row customHeight="1" ht="11.25">
      <c r="A71" s="1173" t="s">
        <v>1020</v>
      </c>
      <c r="B71" s="1173"/>
      <c r="C71" s="1173"/>
      <c r="D71" s="1167"/>
      <c r="E71" s="1177"/>
      <c r="F71" s="1835"/>
      <c r="G71" s="1836"/>
      <c r="H71" s="2541" t="s">
        <v>375</v>
      </c>
      <c r="I71" s="2542"/>
      <c r="J71" s="2511"/>
      <c r="K71" s="2543"/>
      <c r="L71" s="2133"/>
      <c r="M71" s="2134"/>
      <c r="N71" s="2534"/>
      <c r="O71" s="2535"/>
      <c r="P71" s="2537"/>
      <c r="Q71" s="2539"/>
      <c r="R71" s="2539"/>
      <c r="S71" s="2540"/>
      <c r="T71" s="2539"/>
      <c r="U71" s="2539"/>
      <c r="V71" s="2539"/>
      <c r="W71" s="2539"/>
      <c r="X71" s="2539"/>
      <c r="Y71" s="2539"/>
      <c r="Z71" s="1834"/>
      <c r="AA71" s="1800">
        <v>1</v>
      </c>
      <c r="AB71" s="1186" t="s">
        <v>1054</v>
      </c>
      <c r="AC71" s="1176">
        <v>663.42</v>
      </c>
      <c r="AD71" s="1186" t="str">
        <f>AB71</f>
        <v>  Прибыль направляемая на инвестиции</v>
      </c>
      <c r="AE71" s="1176">
        <v>0</v>
      </c>
      <c r="AF71" s="2532"/>
      <c r="AG71" s="2533"/>
      <c r="AH71" s="2533"/>
      <c r="AI71" s="2660"/>
      <c r="AJ71" s="2533"/>
      <c r="AK71" s="2533"/>
      <c r="AL71" s="1992"/>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2"/>
    </row>
    <row customHeight="1" ht="11.25">
      <c r="A72" s="1173" t="s">
        <v>1020</v>
      </c>
      <c r="B72" s="1173"/>
      <c r="C72" s="1173"/>
      <c r="D72" s="1167"/>
      <c r="E72" s="1177"/>
      <c r="F72" s="1835"/>
      <c r="G72" s="1836"/>
      <c r="H72" s="2541" t="s">
        <v>375</v>
      </c>
      <c r="I72" s="2542"/>
      <c r="J72" s="2511"/>
      <c r="K72" s="2543"/>
      <c r="L72" s="2133"/>
      <c r="M72" s="2134"/>
      <c r="N72" s="2534"/>
      <c r="O72" s="2535"/>
      <c r="P72" s="2538"/>
      <c r="Q72" s="2539"/>
      <c r="R72" s="2539"/>
      <c r="S72" s="2540"/>
      <c r="T72" s="2539"/>
      <c r="U72" s="2539"/>
      <c r="V72" s="2539"/>
      <c r="W72" s="2539"/>
      <c r="X72" s="2539"/>
      <c r="Y72" s="2539"/>
      <c r="Z72" s="1182"/>
      <c r="AA72" s="1183"/>
      <c r="AB72" s="1248" t="s">
        <v>1055</v>
      </c>
      <c r="AC72" s="1187"/>
      <c r="AD72" s="1187"/>
      <c r="AE72" s="1189"/>
      <c r="AF72" s="2532"/>
      <c r="AG72" s="2533"/>
      <c r="AH72" s="2533"/>
      <c r="AI72" s="2660"/>
      <c r="AJ72" s="2533"/>
      <c r="AK72" s="2533"/>
      <c r="AL72" s="1992"/>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2"/>
    </row>
    <row customHeight="1" ht="11.25">
      <c r="A73" s="1173" t="s">
        <v>1020</v>
      </c>
      <c r="B73" s="1173"/>
      <c r="C73" s="1173"/>
      <c r="D73" s="1167"/>
      <c r="E73" s="1177"/>
      <c r="F73" s="1835"/>
      <c r="G73" s="1836"/>
      <c r="H73" s="2541" t="s">
        <v>375</v>
      </c>
      <c r="I73" s="2542"/>
      <c r="J73" s="2511"/>
      <c r="K73" s="2543"/>
      <c r="L73" s="2133"/>
      <c r="M73" s="2134"/>
      <c r="N73" s="1182"/>
      <c r="O73" s="1183"/>
      <c r="P73" s="1175" t="s">
        <v>1056</v>
      </c>
      <c r="Q73" s="1183"/>
      <c r="R73" s="1183"/>
      <c r="S73" s="1183"/>
      <c r="T73" s="1183"/>
      <c r="U73" s="1183"/>
      <c r="V73" s="1183"/>
      <c r="W73" s="1183"/>
      <c r="X73" s="1183"/>
      <c r="Y73" s="1183"/>
      <c r="Z73" s="1183"/>
      <c r="AA73" s="1183"/>
      <c r="AB73" s="1183"/>
      <c r="AC73" s="1183"/>
      <c r="AD73" s="1183"/>
      <c r="AE73" s="1190"/>
      <c r="AF73" s="2532"/>
      <c r="AG73" s="2533"/>
      <c r="AH73" s="2533"/>
      <c r="AI73" s="2660"/>
      <c r="AJ73" s="2533"/>
      <c r="AK73" s="2533"/>
      <c r="AL73" s="1992"/>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2"/>
    </row>
    <row customHeight="1" ht="12">
      <c r="A74" s="1173" t="s">
        <v>1020</v>
      </c>
      <c r="B74" s="1173"/>
      <c r="C74" s="1173"/>
      <c r="D74" s="1167"/>
      <c r="E74" s="1177"/>
      <c r="F74" s="2563"/>
      <c r="G74" s="1197"/>
      <c r="H74" s="1197"/>
      <c r="I74" s="2561" t="s">
        <v>1057</v>
      </c>
      <c r="J74" s="2561"/>
      <c r="K74" s="2561"/>
      <c r="L74" s="1180"/>
      <c r="M74" s="1180"/>
      <c r="N74" s="1181"/>
      <c r="O74" s="1181"/>
      <c r="P74" s="1181"/>
      <c r="Q74" s="1181"/>
      <c r="R74" s="1181"/>
      <c r="S74" s="1181"/>
      <c r="T74" s="1181"/>
      <c r="U74" s="1181"/>
      <c r="V74" s="1181"/>
      <c r="W74" s="1181"/>
      <c r="X74" s="1181"/>
      <c r="Y74" s="1181"/>
      <c r="Z74" s="1181"/>
      <c r="AA74" s="1181"/>
      <c r="AB74" s="1181"/>
      <c r="AC74" s="1181"/>
      <c r="AD74" s="1181"/>
      <c r="AE74" s="1181"/>
      <c r="AF74" s="1181"/>
      <c r="AG74" s="1180"/>
      <c r="AH74" s="1180"/>
      <c r="AI74" s="1181"/>
      <c r="AJ74" s="1180"/>
      <c r="AK74" s="1181"/>
      <c r="AL74" s="1992"/>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2"/>
    </row>
    <row customHeight="1" ht="0.75">
      <c r="A75" s="1173" t="s">
        <v>1020</v>
      </c>
      <c r="B75" s="1173"/>
      <c r="C75" s="1173"/>
      <c r="D75" s="1167"/>
      <c r="E75" s="1177"/>
      <c r="F75" s="2562">
        <v>2028</v>
      </c>
      <c r="G75" s="2541"/>
      <c r="H75" s="2566" t="s">
        <v>375</v>
      </c>
      <c r="I75" s="2567"/>
      <c r="J75" s="2568"/>
      <c r="K75" s="2568"/>
      <c r="L75" s="2560"/>
      <c r="M75" s="2294"/>
      <c r="N75" s="2040"/>
      <c r="O75" s="2039"/>
      <c r="P75" s="2040"/>
      <c r="Q75" s="2040"/>
      <c r="R75" s="2040"/>
      <c r="S75" s="2040"/>
      <c r="T75" s="2040"/>
      <c r="U75" s="2040"/>
      <c r="V75" s="2040"/>
      <c r="W75" s="2040"/>
      <c r="X75" s="2040"/>
      <c r="Y75" s="2040"/>
      <c r="Z75" s="2040"/>
      <c r="AA75" s="2040"/>
      <c r="AB75" s="2040"/>
      <c r="AC75" s="2040"/>
      <c r="AD75" s="2040"/>
      <c r="AE75" s="2040"/>
      <c r="AF75" s="2564"/>
      <c r="AG75" s="2560"/>
      <c r="AH75" s="2560"/>
      <c r="AI75" s="2564"/>
      <c r="AJ75" s="2560"/>
      <c r="AK75" s="2560"/>
      <c r="AL75" s="1992"/>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2"/>
    </row>
    <row customHeight="1" ht="0.75">
      <c r="A76" s="1173" t="s">
        <v>1020</v>
      </c>
      <c r="B76" s="1173"/>
      <c r="C76" s="1173"/>
      <c r="D76" s="1167"/>
      <c r="E76" s="1177"/>
      <c r="F76" s="2562"/>
      <c r="G76" s="2541"/>
      <c r="H76" s="2566"/>
      <c r="I76" s="2567"/>
      <c r="J76" s="2568"/>
      <c r="K76" s="2568"/>
      <c r="L76" s="2560"/>
      <c r="M76" s="2294"/>
      <c r="N76" s="2569"/>
      <c r="O76" s="2570"/>
      <c r="P76" s="2614"/>
      <c r="Q76" s="2565"/>
      <c r="R76" s="2565"/>
      <c r="S76" s="2565"/>
      <c r="T76" s="2565"/>
      <c r="U76" s="2565"/>
      <c r="V76" s="2565"/>
      <c r="W76" s="2565"/>
      <c r="X76" s="2565"/>
      <c r="Y76" s="2565"/>
      <c r="Z76" s="2041"/>
      <c r="AA76" s="2042"/>
      <c r="AB76" s="2042"/>
      <c r="AC76" s="2043"/>
      <c r="AD76" s="2043"/>
      <c r="AE76" s="2044"/>
      <c r="AF76" s="2564"/>
      <c r="AG76" s="2560"/>
      <c r="AH76" s="2560"/>
      <c r="AI76" s="2564"/>
      <c r="AJ76" s="2560"/>
      <c r="AK76" s="2560"/>
      <c r="AL76" s="1992"/>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2"/>
    </row>
    <row customHeight="1" ht="0.75">
      <c r="A77" s="1173" t="s">
        <v>1020</v>
      </c>
      <c r="B77" s="1173"/>
      <c r="C77" s="1173"/>
      <c r="D77" s="1167"/>
      <c r="E77" s="1177"/>
      <c r="F77" s="2562"/>
      <c r="G77" s="2541"/>
      <c r="H77" s="2566"/>
      <c r="I77" s="2567"/>
      <c r="J77" s="2568"/>
      <c r="K77" s="2568"/>
      <c r="L77" s="2560"/>
      <c r="M77" s="2294"/>
      <c r="N77" s="2569"/>
      <c r="O77" s="2570"/>
      <c r="P77" s="2615"/>
      <c r="Q77" s="2565"/>
      <c r="R77" s="2565"/>
      <c r="S77" s="2565"/>
      <c r="T77" s="2565"/>
      <c r="U77" s="2565"/>
      <c r="V77" s="2565"/>
      <c r="W77" s="2565"/>
      <c r="X77" s="2565"/>
      <c r="Y77" s="2565"/>
      <c r="Z77" s="2045"/>
      <c r="AA77" s="2046"/>
      <c r="AB77" s="2047"/>
      <c r="AC77" s="2048"/>
      <c r="AD77" s="2047"/>
      <c r="AE77" s="2048"/>
      <c r="AF77" s="2564"/>
      <c r="AG77" s="2560"/>
      <c r="AH77" s="2560"/>
      <c r="AI77" s="2564"/>
      <c r="AJ77" s="2560"/>
      <c r="AK77" s="2560"/>
      <c r="AL77" s="1992"/>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2"/>
    </row>
    <row customHeight="1" ht="0.75">
      <c r="A78" s="1173" t="s">
        <v>1020</v>
      </c>
      <c r="B78" s="1173"/>
      <c r="C78" s="1173"/>
      <c r="D78" s="1167"/>
      <c r="E78" s="1177"/>
      <c r="F78" s="2562"/>
      <c r="G78" s="2541"/>
      <c r="H78" s="2566"/>
      <c r="I78" s="2567"/>
      <c r="J78" s="2568"/>
      <c r="K78" s="2568"/>
      <c r="L78" s="2560"/>
      <c r="M78" s="2294"/>
      <c r="N78" s="2569"/>
      <c r="O78" s="2570"/>
      <c r="P78" s="2616"/>
      <c r="Q78" s="2565"/>
      <c r="R78" s="2565"/>
      <c r="S78" s="2565"/>
      <c r="T78" s="2565"/>
      <c r="U78" s="2565"/>
      <c r="V78" s="2565"/>
      <c r="W78" s="2565"/>
      <c r="X78" s="2565"/>
      <c r="Y78" s="2565"/>
      <c r="Z78" s="2041"/>
      <c r="AA78" s="2042"/>
      <c r="AB78" s="2049"/>
      <c r="AC78" s="2043"/>
      <c r="AD78" s="2043"/>
      <c r="AE78" s="2050"/>
      <c r="AF78" s="2564"/>
      <c r="AG78" s="2560"/>
      <c r="AH78" s="2560"/>
      <c r="AI78" s="2564"/>
      <c r="AJ78" s="2560"/>
      <c r="AK78" s="2560"/>
      <c r="AL78" s="1992"/>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2"/>
    </row>
    <row customHeight="1" ht="0.75">
      <c r="A79" s="1173" t="s">
        <v>1020</v>
      </c>
      <c r="B79" s="1173"/>
      <c r="C79" s="1173"/>
      <c r="D79" s="1167"/>
      <c r="E79" s="1177"/>
      <c r="F79" s="2562"/>
      <c r="G79" s="2541"/>
      <c r="H79" s="2566"/>
      <c r="I79" s="2567"/>
      <c r="J79" s="2568"/>
      <c r="K79" s="2568"/>
      <c r="L79" s="2560"/>
      <c r="M79" s="2294"/>
      <c r="N79" s="2042"/>
      <c r="O79" s="2042"/>
      <c r="P79" s="2049"/>
      <c r="Q79" s="2042"/>
      <c r="R79" s="2042"/>
      <c r="S79" s="2042"/>
      <c r="T79" s="2042"/>
      <c r="U79" s="2042"/>
      <c r="V79" s="2042"/>
      <c r="W79" s="2042"/>
      <c r="X79" s="2042"/>
      <c r="Y79" s="2042"/>
      <c r="Z79" s="2042"/>
      <c r="AA79" s="2042"/>
      <c r="AB79" s="2042"/>
      <c r="AC79" s="2042"/>
      <c r="AD79" s="2042"/>
      <c r="AE79" s="2051"/>
      <c r="AF79" s="2564"/>
      <c r="AG79" s="2560"/>
      <c r="AH79" s="2560"/>
      <c r="AI79" s="2564"/>
      <c r="AJ79" s="2560"/>
      <c r="AK79" s="2560"/>
      <c r="AL79" s="1992"/>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2"/>
    </row>
    <row customHeight="1" ht="11.25">
      <c r="A80" s="1173" t="s">
        <v>1020</v>
      </c>
      <c r="B80" s="1173"/>
      <c r="C80" s="1173"/>
      <c r="D80" s="1167"/>
      <c r="E80" s="1177"/>
      <c r="F80" s="1835"/>
      <c r="G80" s="690" t="s">
        <v>574</v>
      </c>
      <c r="H80" s="2541" t="s">
        <v>109</v>
      </c>
      <c r="I80" s="2542"/>
      <c r="J80" s="2511"/>
      <c r="K80" s="2543" t="s">
        <v>1052</v>
      </c>
      <c r="L80" s="2133" t="s">
        <v>19</v>
      </c>
      <c r="M80" s="2134"/>
      <c r="N80" s="1990"/>
      <c r="O80" s="1184" t="s">
        <v>375</v>
      </c>
      <c r="P80" s="1185"/>
      <c r="Q80" s="1185"/>
      <c r="R80" s="1185"/>
      <c r="S80" s="1185"/>
      <c r="T80" s="1185"/>
      <c r="U80" s="1185"/>
      <c r="V80" s="1185"/>
      <c r="W80" s="1185"/>
      <c r="X80" s="1185"/>
      <c r="Y80" s="1185"/>
      <c r="Z80" s="1185"/>
      <c r="AA80" s="1185"/>
      <c r="AB80" s="1185"/>
      <c r="AC80" s="1185"/>
      <c r="AD80" s="1185"/>
      <c r="AE80" s="1185"/>
      <c r="AF80" s="2532">
        <v>2029</v>
      </c>
      <c r="AG80" s="2533" t="s">
        <v>1053</v>
      </c>
      <c r="AH80" s="2533" t="s">
        <v>1053</v>
      </c>
      <c r="AI80" s="2660"/>
      <c r="AJ80" s="2533" t="s">
        <v>1053</v>
      </c>
      <c r="AK80" s="2533" t="s">
        <v>1053</v>
      </c>
      <c r="AL80" s="1992"/>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2"/>
    </row>
    <row customHeight="1" ht="11.25">
      <c r="A81" s="1173" t="s">
        <v>1020</v>
      </c>
      <c r="B81" s="1173"/>
      <c r="C81" s="1173"/>
      <c r="D81" s="1167"/>
      <c r="E81" s="1177"/>
      <c r="F81" s="1835"/>
      <c r="G81" s="1836"/>
      <c r="H81" s="2541" t="s">
        <v>375</v>
      </c>
      <c r="I81" s="2542"/>
      <c r="J81" s="2511"/>
      <c r="K81" s="2543"/>
      <c r="L81" s="2133"/>
      <c r="M81" s="2134"/>
      <c r="N81" s="2534"/>
      <c r="O81" s="2535">
        <v>1</v>
      </c>
      <c r="P81" s="2536" t="s">
        <v>19</v>
      </c>
      <c r="Q81" s="2539" t="s">
        <v>22</v>
      </c>
      <c r="R81" s="2539" t="s">
        <v>22</v>
      </c>
      <c r="S81" s="2539" t="s">
        <v>22</v>
      </c>
      <c r="T81" s="2539" t="s">
        <v>22</v>
      </c>
      <c r="U81" s="2539" t="s">
        <v>22</v>
      </c>
      <c r="V81" s="2539" t="s">
        <v>22</v>
      </c>
      <c r="W81" s="2539" t="s">
        <v>22</v>
      </c>
      <c r="X81" s="2539" t="s">
        <v>22</v>
      </c>
      <c r="Y81" s="2539"/>
      <c r="Z81" s="1182"/>
      <c r="AA81" s="1183"/>
      <c r="AB81" s="1183"/>
      <c r="AC81" s="1187"/>
      <c r="AD81" s="1187"/>
      <c r="AE81" s="1188"/>
      <c r="AF81" s="2532"/>
      <c r="AG81" s="2533"/>
      <c r="AH81" s="2533"/>
      <c r="AI81" s="2660"/>
      <c r="AJ81" s="2533"/>
      <c r="AK81" s="253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2"/>
    </row>
    <row customHeight="1" ht="11.25">
      <c r="A82" s="1173" t="s">
        <v>1020</v>
      </c>
      <c r="B82" s="1173"/>
      <c r="C82" s="1173"/>
      <c r="D82" s="1167"/>
      <c r="E82" s="1177"/>
      <c r="F82" s="1835"/>
      <c r="G82" s="1836"/>
      <c r="H82" s="2541" t="s">
        <v>375</v>
      </c>
      <c r="I82" s="2542"/>
      <c r="J82" s="2511"/>
      <c r="K82" s="2543"/>
      <c r="L82" s="2133"/>
      <c r="M82" s="2134"/>
      <c r="N82" s="2534"/>
      <c r="O82" s="2535"/>
      <c r="P82" s="2537"/>
      <c r="Q82" s="2539"/>
      <c r="R82" s="2539"/>
      <c r="S82" s="2540"/>
      <c r="T82" s="2539"/>
      <c r="U82" s="2539"/>
      <c r="V82" s="2539"/>
      <c r="W82" s="2539"/>
      <c r="X82" s="2539"/>
      <c r="Y82" s="2539"/>
      <c r="Z82" s="1834"/>
      <c r="AA82" s="1800">
        <v>1</v>
      </c>
      <c r="AB82" s="1186" t="s">
        <v>1054</v>
      </c>
      <c r="AC82" s="1176">
        <v>663.42</v>
      </c>
      <c r="AD82" s="1186" t="str">
        <f>AB82</f>
        <v>  Прибыль направляемая на инвестиции</v>
      </c>
      <c r="AE82" s="1176">
        <v>0</v>
      </c>
      <c r="AF82" s="2532"/>
      <c r="AG82" s="2533"/>
      <c r="AH82" s="2533"/>
      <c r="AI82" s="2660"/>
      <c r="AJ82" s="2533"/>
      <c r="AK82" s="2533"/>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2"/>
    </row>
    <row customHeight="1" ht="11.25">
      <c r="A83" s="1173" t="s">
        <v>1020</v>
      </c>
      <c r="B83" s="1173"/>
      <c r="C83" s="1173"/>
      <c r="D83" s="1167"/>
      <c r="E83" s="1177"/>
      <c r="F83" s="1835"/>
      <c r="G83" s="1836"/>
      <c r="H83" s="2541" t="s">
        <v>375</v>
      </c>
      <c r="I83" s="2542"/>
      <c r="J83" s="2511"/>
      <c r="K83" s="2543"/>
      <c r="L83" s="2133"/>
      <c r="M83" s="2134"/>
      <c r="N83" s="2534"/>
      <c r="O83" s="2535"/>
      <c r="P83" s="2538"/>
      <c r="Q83" s="2539"/>
      <c r="R83" s="2539"/>
      <c r="S83" s="2540"/>
      <c r="T83" s="2539"/>
      <c r="U83" s="2539"/>
      <c r="V83" s="2539"/>
      <c r="W83" s="2539"/>
      <c r="X83" s="2539"/>
      <c r="Y83" s="2539"/>
      <c r="Z83" s="1182"/>
      <c r="AA83" s="1183"/>
      <c r="AB83" s="1248" t="s">
        <v>1055</v>
      </c>
      <c r="AC83" s="1187"/>
      <c r="AD83" s="1187"/>
      <c r="AE83" s="1189"/>
      <c r="AF83" s="2532"/>
      <c r="AG83" s="2533"/>
      <c r="AH83" s="2533"/>
      <c r="AI83" s="2660"/>
      <c r="AJ83" s="2533"/>
      <c r="AK83" s="2533"/>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2"/>
    </row>
    <row customHeight="1" ht="11.25">
      <c r="A84" s="1173" t="s">
        <v>1020</v>
      </c>
      <c r="B84" s="1173"/>
      <c r="C84" s="1173"/>
      <c r="D84" s="1167"/>
      <c r="E84" s="1177"/>
      <c r="F84" s="1835"/>
      <c r="G84" s="1836"/>
      <c r="H84" s="2541" t="s">
        <v>375</v>
      </c>
      <c r="I84" s="2542"/>
      <c r="J84" s="2511"/>
      <c r="K84" s="2543"/>
      <c r="L84" s="2133"/>
      <c r="M84" s="2134"/>
      <c r="N84" s="1182"/>
      <c r="O84" s="1183"/>
      <c r="P84" s="1175" t="s">
        <v>1056</v>
      </c>
      <c r="Q84" s="1183"/>
      <c r="R84" s="1183"/>
      <c r="S84" s="1183"/>
      <c r="T84" s="1183"/>
      <c r="U84" s="1183"/>
      <c r="V84" s="1183"/>
      <c r="W84" s="1183"/>
      <c r="X84" s="1183"/>
      <c r="Y84" s="1183"/>
      <c r="Z84" s="1183"/>
      <c r="AA84" s="1183"/>
      <c r="AB84" s="1183"/>
      <c r="AC84" s="1183"/>
      <c r="AD84" s="1183"/>
      <c r="AE84" s="1190"/>
      <c r="AF84" s="2532"/>
      <c r="AG84" s="2533"/>
      <c r="AH84" s="2533"/>
      <c r="AI84" s="2660"/>
      <c r="AJ84" s="2533"/>
      <c r="AK84" s="2533"/>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2"/>
    </row>
    <row customHeight="1" ht="12">
      <c r="A85" s="1173" t="s">
        <v>1020</v>
      </c>
      <c r="B85" s="1173"/>
      <c r="C85" s="1173"/>
      <c r="D85" s="1167"/>
      <c r="E85" s="1177"/>
      <c r="F85" s="2563"/>
      <c r="G85" s="1197"/>
      <c r="H85" s="1197"/>
      <c r="I85" s="2561" t="s">
        <v>1057</v>
      </c>
      <c r="J85" s="2561"/>
      <c r="K85" s="2561"/>
      <c r="L85" s="1180"/>
      <c r="M85" s="1180"/>
      <c r="N85" s="1181"/>
      <c r="O85" s="1181"/>
      <c r="P85" s="1181"/>
      <c r="Q85" s="1181"/>
      <c r="R85" s="1181"/>
      <c r="S85" s="1181"/>
      <c r="T85" s="1181"/>
      <c r="U85" s="1181"/>
      <c r="V85" s="1181"/>
      <c r="W85" s="1181"/>
      <c r="X85" s="1181"/>
      <c r="Y85" s="1181"/>
      <c r="Z85" s="1181"/>
      <c r="AA85" s="1181"/>
      <c r="AB85" s="1181"/>
      <c r="AC85" s="1181"/>
      <c r="AD85" s="1181"/>
      <c r="AE85" s="1181"/>
      <c r="AF85" s="1181"/>
      <c r="AG85" s="1180"/>
      <c r="AH85" s="1180"/>
      <c r="AI85" s="1181"/>
      <c r="AJ85" s="1180"/>
      <c r="AK85" s="1181"/>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2"/>
    </row>
    <row customHeight="1" ht="0.75">
      <c r="A86" s="1173" t="s">
        <v>1020</v>
      </c>
      <c r="B86" s="1173"/>
      <c r="C86" s="1173"/>
      <c r="D86" s="1167"/>
      <c r="E86" s="1177"/>
      <c r="F86" s="2562">
        <v>2029</v>
      </c>
      <c r="G86" s="2541"/>
      <c r="H86" s="2566" t="s">
        <v>375</v>
      </c>
      <c r="I86" s="2567"/>
      <c r="J86" s="2568"/>
      <c r="K86" s="2568"/>
      <c r="L86" s="2560"/>
      <c r="M86" s="2294"/>
      <c r="N86" s="2040"/>
      <c r="O86" s="2039"/>
      <c r="P86" s="2040"/>
      <c r="Q86" s="2040"/>
      <c r="R86" s="2040"/>
      <c r="S86" s="2040"/>
      <c r="T86" s="2040"/>
      <c r="U86" s="2040"/>
      <c r="V86" s="2040"/>
      <c r="W86" s="2040"/>
      <c r="X86" s="2040"/>
      <c r="Y86" s="2040"/>
      <c r="Z86" s="2040"/>
      <c r="AA86" s="2040"/>
      <c r="AB86" s="2040"/>
      <c r="AC86" s="2040"/>
      <c r="AD86" s="2040"/>
      <c r="AE86" s="2040"/>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2"/>
    </row>
    <row customHeight="1" ht="0.75">
      <c r="A87" s="1173" t="s">
        <v>1020</v>
      </c>
      <c r="B87" s="1173"/>
      <c r="C87" s="1173"/>
      <c r="D87" s="1167"/>
      <c r="E87" s="1177"/>
      <c r="F87" s="2562"/>
      <c r="G87" s="2541"/>
      <c r="H87" s="2566"/>
      <c r="I87" s="2567"/>
      <c r="J87" s="2568"/>
      <c r="K87" s="2568"/>
      <c r="L87" s="2560"/>
      <c r="M87" s="2294"/>
      <c r="N87" s="2569"/>
      <c r="O87" s="2570"/>
      <c r="P87" s="2614"/>
      <c r="Q87" s="2565"/>
      <c r="R87" s="2565"/>
      <c r="S87" s="2565"/>
      <c r="T87" s="2565"/>
      <c r="U87" s="2565"/>
      <c r="V87" s="2565"/>
      <c r="W87" s="2565"/>
      <c r="X87" s="2565"/>
      <c r="Y87" s="2565"/>
      <c r="Z87" s="2041"/>
      <c r="AA87" s="2042"/>
      <c r="AB87" s="2042"/>
      <c r="AC87" s="2043"/>
      <c r="AD87" s="2043"/>
      <c r="AE87" s="2044"/>
      <c r="AF87" s="2564"/>
      <c r="AG87" s="2560"/>
      <c r="AH87" s="2560"/>
      <c r="AI87" s="2564"/>
      <c r="AJ87" s="2560"/>
      <c r="AK87" s="2560"/>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2"/>
    </row>
    <row customHeight="1" ht="0.75">
      <c r="A88" s="1173" t="s">
        <v>1020</v>
      </c>
      <c r="B88" s="1173"/>
      <c r="C88" s="1173"/>
      <c r="D88" s="1167"/>
      <c r="E88" s="1177"/>
      <c r="F88" s="2562"/>
      <c r="G88" s="2541"/>
      <c r="H88" s="2566"/>
      <c r="I88" s="2567"/>
      <c r="J88" s="2568"/>
      <c r="K88" s="2568"/>
      <c r="L88" s="2560"/>
      <c r="M88" s="2294"/>
      <c r="N88" s="2569"/>
      <c r="O88" s="2570"/>
      <c r="P88" s="2615"/>
      <c r="Q88" s="2565"/>
      <c r="R88" s="2565"/>
      <c r="S88" s="2565"/>
      <c r="T88" s="2565"/>
      <c r="U88" s="2565"/>
      <c r="V88" s="2565"/>
      <c r="W88" s="2565"/>
      <c r="X88" s="2565"/>
      <c r="Y88" s="2565"/>
      <c r="Z88" s="2045"/>
      <c r="AA88" s="2046"/>
      <c r="AB88" s="2047"/>
      <c r="AC88" s="2048"/>
      <c r="AD88" s="2047"/>
      <c r="AE88" s="2048"/>
      <c r="AF88" s="2564"/>
      <c r="AG88" s="2560"/>
      <c r="AH88" s="2560"/>
      <c r="AI88" s="2564"/>
      <c r="AJ88" s="2560"/>
      <c r="AK88" s="2560"/>
      <c r="AL88" s="1992"/>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2"/>
    </row>
    <row customHeight="1" ht="0.75">
      <c r="A89" s="1173" t="s">
        <v>1020</v>
      </c>
      <c r="B89" s="1173"/>
      <c r="C89" s="1173"/>
      <c r="D89" s="1167"/>
      <c r="E89" s="1177"/>
      <c r="F89" s="2562"/>
      <c r="G89" s="2541"/>
      <c r="H89" s="2566"/>
      <c r="I89" s="2567"/>
      <c r="J89" s="2568"/>
      <c r="K89" s="2568"/>
      <c r="L89" s="2560"/>
      <c r="M89" s="2294"/>
      <c r="N89" s="2569"/>
      <c r="O89" s="2570"/>
      <c r="P89" s="2616"/>
      <c r="Q89" s="2565"/>
      <c r="R89" s="2565"/>
      <c r="S89" s="2565"/>
      <c r="T89" s="2565"/>
      <c r="U89" s="2565"/>
      <c r="V89" s="2565"/>
      <c r="W89" s="2565"/>
      <c r="X89" s="2565"/>
      <c r="Y89" s="2565"/>
      <c r="Z89" s="2041"/>
      <c r="AA89" s="2042"/>
      <c r="AB89" s="2049"/>
      <c r="AC89" s="2043"/>
      <c r="AD89" s="2043"/>
      <c r="AE89" s="2050"/>
      <c r="AF89" s="2564"/>
      <c r="AG89" s="2560"/>
      <c r="AH89" s="2560"/>
      <c r="AI89" s="2564"/>
      <c r="AJ89" s="2560"/>
      <c r="AK89" s="2560"/>
      <c r="AL89" s="1992"/>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2"/>
    </row>
    <row customHeight="1" ht="0.75">
      <c r="A90" s="1173" t="s">
        <v>1020</v>
      </c>
      <c r="B90" s="1173"/>
      <c r="C90" s="1173"/>
      <c r="D90" s="1167"/>
      <c r="E90" s="1177"/>
      <c r="F90" s="2562"/>
      <c r="G90" s="2541"/>
      <c r="H90" s="2566"/>
      <c r="I90" s="2567"/>
      <c r="J90" s="2568"/>
      <c r="K90" s="2568"/>
      <c r="L90" s="2560"/>
      <c r="M90" s="2294"/>
      <c r="N90" s="2042"/>
      <c r="O90" s="2042"/>
      <c r="P90" s="2049"/>
      <c r="Q90" s="2042"/>
      <c r="R90" s="2042"/>
      <c r="S90" s="2042"/>
      <c r="T90" s="2042"/>
      <c r="U90" s="2042"/>
      <c r="V90" s="2042"/>
      <c r="W90" s="2042"/>
      <c r="X90" s="2042"/>
      <c r="Y90" s="2042"/>
      <c r="Z90" s="2042"/>
      <c r="AA90" s="2042"/>
      <c r="AB90" s="2042"/>
      <c r="AC90" s="2042"/>
      <c r="AD90" s="2042"/>
      <c r="AE90" s="2051"/>
      <c r="AF90" s="2564"/>
      <c r="AG90" s="2560"/>
      <c r="AH90" s="2560"/>
      <c r="AI90" s="2564"/>
      <c r="AJ90" s="2560"/>
      <c r="AK90" s="2560"/>
      <c r="AL90" s="1992"/>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2"/>
    </row>
    <row customHeight="1" ht="11.25">
      <c r="A91" s="1173" t="s">
        <v>1020</v>
      </c>
      <c r="B91" s="1173"/>
      <c r="C91" s="1173"/>
      <c r="D91" s="1167"/>
      <c r="E91" s="1177"/>
      <c r="F91" s="1835"/>
      <c r="G91" s="690" t="s">
        <v>574</v>
      </c>
      <c r="H91" s="2541" t="s">
        <v>109</v>
      </c>
      <c r="I91" s="2542"/>
      <c r="J91" s="2511"/>
      <c r="K91" s="2543" t="s">
        <v>1052</v>
      </c>
      <c r="L91" s="2133" t="s">
        <v>19</v>
      </c>
      <c r="M91" s="2134"/>
      <c r="N91" s="1990"/>
      <c r="O91" s="1184" t="s">
        <v>375</v>
      </c>
      <c r="P91" s="1185"/>
      <c r="Q91" s="1185"/>
      <c r="R91" s="1185"/>
      <c r="S91" s="1185"/>
      <c r="T91" s="1185"/>
      <c r="U91" s="1185"/>
      <c r="V91" s="1185"/>
      <c r="W91" s="1185"/>
      <c r="X91" s="1185"/>
      <c r="Y91" s="1185"/>
      <c r="Z91" s="1185"/>
      <c r="AA91" s="1185"/>
      <c r="AB91" s="1185"/>
      <c r="AC91" s="1185"/>
      <c r="AD91" s="1185"/>
      <c r="AE91" s="1185"/>
      <c r="AF91" s="2532">
        <v>2029</v>
      </c>
      <c r="AG91" s="2533" t="s">
        <v>1053</v>
      </c>
      <c r="AH91" s="2533" t="s">
        <v>1053</v>
      </c>
      <c r="AI91" s="2660"/>
      <c r="AJ91" s="2533" t="s">
        <v>1053</v>
      </c>
      <c r="AK91" s="2533" t="s">
        <v>1053</v>
      </c>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2"/>
    </row>
    <row customHeight="1" ht="11.25">
      <c r="A92" s="1173" t="s">
        <v>1020</v>
      </c>
      <c r="B92" s="1173"/>
      <c r="C92" s="1173"/>
      <c r="D92" s="1167"/>
      <c r="E92" s="1177"/>
      <c r="F92" s="1835"/>
      <c r="G92" s="1836"/>
      <c r="H92" s="2541" t="s">
        <v>375</v>
      </c>
      <c r="I92" s="2542"/>
      <c r="J92" s="2511"/>
      <c r="K92" s="2543"/>
      <c r="L92" s="2133"/>
      <c r="M92" s="2134"/>
      <c r="N92" s="2534"/>
      <c r="O92" s="2535">
        <v>1</v>
      </c>
      <c r="P92" s="2536" t="s">
        <v>19</v>
      </c>
      <c r="Q92" s="2539" t="s">
        <v>22</v>
      </c>
      <c r="R92" s="2539" t="s">
        <v>22</v>
      </c>
      <c r="S92" s="2539" t="s">
        <v>22</v>
      </c>
      <c r="T92" s="2539" t="s">
        <v>22</v>
      </c>
      <c r="U92" s="2539" t="s">
        <v>22</v>
      </c>
      <c r="V92" s="2539" t="s">
        <v>22</v>
      </c>
      <c r="W92" s="2539" t="s">
        <v>22</v>
      </c>
      <c r="X92" s="2539" t="s">
        <v>22</v>
      </c>
      <c r="Y92" s="2539"/>
      <c r="Z92" s="1182"/>
      <c r="AA92" s="1183"/>
      <c r="AB92" s="1183"/>
      <c r="AC92" s="1187"/>
      <c r="AD92" s="1187"/>
      <c r="AE92" s="1188"/>
      <c r="AF92" s="2532"/>
      <c r="AG92" s="2533"/>
      <c r="AH92" s="2533"/>
      <c r="AI92" s="2660"/>
      <c r="AJ92" s="2533"/>
      <c r="AK92" s="2533"/>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2"/>
    </row>
    <row customHeight="1" ht="11.25">
      <c r="A93" s="1173" t="s">
        <v>1020</v>
      </c>
      <c r="B93" s="1173"/>
      <c r="C93" s="1173"/>
      <c r="D93" s="1167"/>
      <c r="E93" s="1177"/>
      <c r="F93" s="1835"/>
      <c r="G93" s="1836"/>
      <c r="H93" s="2541" t="s">
        <v>375</v>
      </c>
      <c r="I93" s="2542"/>
      <c r="J93" s="2511"/>
      <c r="K93" s="2543"/>
      <c r="L93" s="2133"/>
      <c r="M93" s="2134"/>
      <c r="N93" s="2534"/>
      <c r="O93" s="2535"/>
      <c r="P93" s="2537"/>
      <c r="Q93" s="2539"/>
      <c r="R93" s="2539"/>
      <c r="S93" s="2540"/>
      <c r="T93" s="2539"/>
      <c r="U93" s="2539"/>
      <c r="V93" s="2539"/>
      <c r="W93" s="2539"/>
      <c r="X93" s="2539"/>
      <c r="Y93" s="2539"/>
      <c r="Z93" s="1834"/>
      <c r="AA93" s="1800">
        <v>1</v>
      </c>
      <c r="AB93" s="1186" t="s">
        <v>1054</v>
      </c>
      <c r="AC93" s="1176">
        <v>663.42</v>
      </c>
      <c r="AD93" s="1186" t="str">
        <f>AB93</f>
        <v>  Прибыль направляемая на инвестиции</v>
      </c>
      <c r="AE93" s="1176">
        <v>0</v>
      </c>
      <c r="AF93" s="2532"/>
      <c r="AG93" s="2533"/>
      <c r="AH93" s="2533"/>
      <c r="AI93" s="2660"/>
      <c r="AJ93" s="2533"/>
      <c r="AK93" s="2533"/>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2"/>
    </row>
    <row customHeight="1" ht="11.25">
      <c r="A94" s="1173" t="s">
        <v>1020</v>
      </c>
      <c r="B94" s="1173"/>
      <c r="C94" s="1173"/>
      <c r="D94" s="1167"/>
      <c r="E94" s="1177"/>
      <c r="F94" s="1835"/>
      <c r="G94" s="1836"/>
      <c r="H94" s="2541" t="s">
        <v>375</v>
      </c>
      <c r="I94" s="2542"/>
      <c r="J94" s="2511"/>
      <c r="K94" s="2543"/>
      <c r="L94" s="2133"/>
      <c r="M94" s="2134"/>
      <c r="N94" s="2534"/>
      <c r="O94" s="2535"/>
      <c r="P94" s="2538"/>
      <c r="Q94" s="2539"/>
      <c r="R94" s="2539"/>
      <c r="S94" s="2540"/>
      <c r="T94" s="2539"/>
      <c r="U94" s="2539"/>
      <c r="V94" s="2539"/>
      <c r="W94" s="2539"/>
      <c r="X94" s="2539"/>
      <c r="Y94" s="2539"/>
      <c r="Z94" s="1182"/>
      <c r="AA94" s="1183"/>
      <c r="AB94" s="1248" t="s">
        <v>1055</v>
      </c>
      <c r="AC94" s="1187"/>
      <c r="AD94" s="1187"/>
      <c r="AE94" s="1189"/>
      <c r="AF94" s="2532"/>
      <c r="AG94" s="2533"/>
      <c r="AH94" s="2533"/>
      <c r="AI94" s="2660"/>
      <c r="AJ94" s="2533"/>
      <c r="AK94" s="2533"/>
      <c r="AL94" s="1992"/>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2"/>
    </row>
    <row customHeight="1" ht="11.25">
      <c r="A95" s="1173" t="s">
        <v>1020</v>
      </c>
      <c r="B95" s="1173"/>
      <c r="C95" s="1173"/>
      <c r="D95" s="1167"/>
      <c r="E95" s="1177"/>
      <c r="F95" s="1835"/>
      <c r="G95" s="1836"/>
      <c r="H95" s="2541" t="s">
        <v>375</v>
      </c>
      <c r="I95" s="2542"/>
      <c r="J95" s="2511"/>
      <c r="K95" s="2543"/>
      <c r="L95" s="2133"/>
      <c r="M95" s="2134"/>
      <c r="N95" s="1182"/>
      <c r="O95" s="1183"/>
      <c r="P95" s="1175" t="s">
        <v>1056</v>
      </c>
      <c r="Q95" s="1183"/>
      <c r="R95" s="1183"/>
      <c r="S95" s="1183"/>
      <c r="T95" s="1183"/>
      <c r="U95" s="1183"/>
      <c r="V95" s="1183"/>
      <c r="W95" s="1183"/>
      <c r="X95" s="1183"/>
      <c r="Y95" s="1183"/>
      <c r="Z95" s="1183"/>
      <c r="AA95" s="1183"/>
      <c r="AB95" s="1183"/>
      <c r="AC95" s="1183"/>
      <c r="AD95" s="1183"/>
      <c r="AE95" s="1190"/>
      <c r="AF95" s="2532"/>
      <c r="AG95" s="2533"/>
      <c r="AH95" s="2533"/>
      <c r="AI95" s="2660"/>
      <c r="AJ95" s="2533"/>
      <c r="AK95" s="2533"/>
      <c r="AL95" s="1992"/>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2"/>
    </row>
    <row customHeight="1" ht="12">
      <c r="A96" s="1173" t="s">
        <v>1020</v>
      </c>
      <c r="B96" s="1173"/>
      <c r="C96" s="1173"/>
      <c r="D96" s="1167"/>
      <c r="E96" s="1177"/>
      <c r="F96" s="2563"/>
      <c r="G96" s="1197"/>
      <c r="H96" s="1197"/>
      <c r="I96" s="2561" t="s">
        <v>1057</v>
      </c>
      <c r="J96" s="2561"/>
      <c r="K96" s="2561"/>
      <c r="L96" s="1180"/>
      <c r="M96" s="1180"/>
      <c r="N96" s="1181"/>
      <c r="O96" s="1181"/>
      <c r="P96" s="1181"/>
      <c r="Q96" s="1181"/>
      <c r="R96" s="1181"/>
      <c r="S96" s="1181"/>
      <c r="T96" s="1181"/>
      <c r="U96" s="1181"/>
      <c r="V96" s="1181"/>
      <c r="W96" s="1181"/>
      <c r="X96" s="1181"/>
      <c r="Y96" s="1181"/>
      <c r="Z96" s="1181"/>
      <c r="AA96" s="1181"/>
      <c r="AB96" s="1181"/>
      <c r="AC96" s="1181"/>
      <c r="AD96" s="1181"/>
      <c r="AE96" s="1181"/>
      <c r="AF96" s="1181"/>
      <c r="AG96" s="1180"/>
      <c r="AH96" s="1180"/>
      <c r="AI96" s="1181"/>
      <c r="AJ96" s="1180"/>
      <c r="AK96" s="1181"/>
      <c r="AL96" s="1992"/>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2"/>
    </row>
    <row customHeight="1" ht="10.5">
      <c r="E97" s="914"/>
      <c r="F97" s="925"/>
      <c r="G97" s="925"/>
      <c r="H97" s="1179"/>
      <c r="I97" s="925"/>
      <c r="J97" s="925"/>
      <c r="K97" s="925"/>
      <c r="L97" s="1138"/>
      <c r="M97" s="1138"/>
      <c r="N97" s="925"/>
      <c r="O97" s="925"/>
      <c r="P97" s="925"/>
      <c r="Q97" s="925"/>
      <c r="R97" s="925"/>
      <c r="S97" s="925"/>
      <c r="T97" s="925"/>
      <c r="U97" s="925"/>
      <c r="V97" s="925"/>
      <c r="W97" s="925"/>
      <c r="X97" s="925"/>
      <c r="Y97" s="925"/>
      <c r="Z97" s="925"/>
      <c r="AA97" s="925"/>
      <c r="AB97" s="925"/>
      <c r="AC97" s="925"/>
      <c r="AD97" s="1138"/>
      <c r="AE97" s="925"/>
      <c r="AF97" s="925"/>
      <c r="AG97" s="925"/>
      <c r="AH97" s="1156"/>
      <c r="AI97" s="1149"/>
      <c r="AJ97" s="925"/>
      <c r="AK97" s="925"/>
      <c r="AL97" s="914"/>
      <c r="AM97" s="914"/>
      <c r="AN97" s="914"/>
      <c r="AO97" s="914"/>
      <c r="AP97" s="914"/>
      <c r="AQ97" s="914"/>
      <c r="AR97" s="914"/>
      <c r="AS97" s="914"/>
      <c r="AT97" s="914"/>
      <c r="AU97" s="914"/>
      <c r="AV97" s="914"/>
      <c r="AW97" s="914"/>
      <c r="AX97" s="914"/>
      <c r="AY97" s="914"/>
      <c r="AZ97" s="914"/>
      <c r="BA97" s="914"/>
      <c r="BB97" s="914"/>
      <c r="BC97" s="914"/>
      <c r="BD97" s="914"/>
      <c r="BE97" s="914"/>
      <c r="BF97" s="914"/>
      <c r="BG97" s="765">
        <v>10</v>
      </c>
    </row>
    <row customHeight="1" ht="13.5">
      <c r="E98" s="914"/>
      <c r="F98" s="921" t="s">
        <v>1062</v>
      </c>
      <c r="G98" s="921"/>
      <c r="H98" s="1178"/>
      <c r="I98" s="921"/>
      <c r="J98" s="921"/>
      <c r="K98" s="918"/>
      <c r="L98" s="1134"/>
      <c r="M98" s="1134"/>
      <c r="N98" s="920"/>
      <c r="O98" s="920"/>
      <c r="P98" s="920"/>
      <c r="Q98" s="920"/>
      <c r="R98" s="920"/>
      <c r="S98" s="920"/>
      <c r="T98" s="920"/>
      <c r="U98" s="920"/>
      <c r="V98" s="920"/>
      <c r="W98" s="920"/>
      <c r="X98" s="920"/>
      <c r="Y98" s="920"/>
      <c r="Z98" s="918"/>
      <c r="AA98" s="918"/>
      <c r="AB98" s="918"/>
      <c r="AC98" s="918"/>
      <c r="AD98" s="1134"/>
      <c r="AE98" s="918"/>
      <c r="AF98" s="918"/>
      <c r="AG98" s="918"/>
      <c r="AH98" s="1153"/>
      <c r="AI98" s="1146"/>
      <c r="AJ98" s="918"/>
      <c r="AK98" s="918"/>
      <c r="AL98" s="914"/>
      <c r="AM98" s="914"/>
      <c r="AN98" s="914"/>
      <c r="AO98" s="914"/>
      <c r="AP98" s="914"/>
      <c r="AQ98" s="914"/>
      <c r="AR98" s="914"/>
      <c r="AS98" s="914"/>
      <c r="AT98" s="914"/>
      <c r="AU98" s="914"/>
      <c r="AV98" s="914"/>
      <c r="AW98" s="914"/>
      <c r="AX98" s="914"/>
      <c r="AY98" s="914"/>
      <c r="AZ98" s="914"/>
      <c r="BA98" s="914"/>
      <c r="BB98" s="914"/>
      <c r="BC98" s="914"/>
      <c r="BD98" s="914"/>
      <c r="BE98" s="914"/>
      <c r="BF98" s="914"/>
      <c r="BG98" s="765">
        <v>13</v>
      </c>
    </row>
    <row customHeight="1" ht="10.5">
      <c r="BG99" s="765">
        <v>10</v>
      </c>
    </row>
    <row customHeight="1" ht="10.5">
      <c r="E100" s="914"/>
      <c r="F100" s="2433"/>
      <c r="G100" s="2433"/>
      <c r="H100" s="2433"/>
      <c r="I100" s="2433"/>
      <c r="J100" s="2433"/>
      <c r="K100" s="918"/>
      <c r="L100" s="1134"/>
      <c r="M100" s="1134"/>
      <c r="N100" s="920"/>
      <c r="O100" s="920"/>
      <c r="P100" s="920"/>
      <c r="Q100" s="920"/>
      <c r="R100" s="920"/>
      <c r="S100" s="920"/>
      <c r="T100" s="920"/>
      <c r="U100" s="920"/>
      <c r="V100" s="920"/>
      <c r="W100" s="920"/>
      <c r="X100" s="920"/>
      <c r="Y100" s="920"/>
      <c r="Z100" s="918"/>
      <c r="AA100" s="918"/>
      <c r="AB100" s="918"/>
      <c r="AC100" s="918"/>
      <c r="AD100" s="1134"/>
      <c r="AE100" s="918"/>
      <c r="AF100" s="918"/>
      <c r="AG100" s="918"/>
      <c r="AH100" s="1153"/>
      <c r="AI100" s="1146"/>
      <c r="AJ100" s="918"/>
      <c r="AK100" s="918"/>
      <c r="AL100" s="914"/>
      <c r="AM100" s="914"/>
      <c r="AN100" s="914"/>
      <c r="AO100" s="914"/>
      <c r="AP100" s="914"/>
      <c r="AQ100" s="914"/>
      <c r="AR100" s="914"/>
      <c r="AS100" s="914"/>
      <c r="AT100" s="914"/>
      <c r="AU100" s="914"/>
      <c r="AV100" s="914"/>
      <c r="AW100" s="914"/>
      <c r="AX100" s="914"/>
      <c r="AY100" s="914"/>
      <c r="AZ100" s="914"/>
      <c r="BA100" s="914"/>
      <c r="BB100" s="914"/>
      <c r="BC100" s="914"/>
      <c r="BD100" s="914"/>
      <c r="BE100" s="914"/>
      <c r="BF100" s="914"/>
      <c r="BG100" s="765">
        <v>10</v>
      </c>
    </row>
    <row customHeight="1" ht="10.5">
      <c r="E101" s="914"/>
      <c r="F101" s="2433"/>
      <c r="G101" s="2433"/>
      <c r="H101" s="2433"/>
      <c r="I101" s="2433"/>
      <c r="J101" s="2433"/>
      <c r="K101" s="918"/>
      <c r="L101" s="1134"/>
      <c r="M101" s="1134"/>
      <c r="N101" s="920"/>
      <c r="O101" s="920"/>
      <c r="P101" s="920"/>
      <c r="Q101" s="920"/>
      <c r="R101" s="920"/>
      <c r="S101" s="920"/>
      <c r="T101" s="920"/>
      <c r="U101" s="920"/>
      <c r="V101" s="920"/>
      <c r="W101" s="920"/>
      <c r="X101" s="920"/>
      <c r="Y101" s="920"/>
      <c r="Z101" s="918"/>
      <c r="AA101" s="918"/>
      <c r="AB101" s="918"/>
      <c r="AC101" s="918"/>
      <c r="AD101" s="1134"/>
      <c r="AE101" s="918"/>
      <c r="AF101" s="918"/>
      <c r="AG101" s="918"/>
      <c r="AH101" s="1153"/>
      <c r="AI101" s="1146"/>
      <c r="AJ101" s="918"/>
      <c r="AK101" s="918"/>
      <c r="AL101" s="914"/>
      <c r="AM101" s="914"/>
      <c r="AN101" s="914"/>
      <c r="AO101" s="914"/>
      <c r="AP101" s="914"/>
      <c r="AQ101" s="914"/>
      <c r="AR101" s="914"/>
      <c r="AS101" s="914"/>
      <c r="AT101" s="914"/>
      <c r="AU101" s="914"/>
      <c r="AV101" s="914"/>
      <c r="AW101" s="914"/>
      <c r="AX101" s="914"/>
      <c r="AY101" s="914"/>
      <c r="AZ101" s="914"/>
      <c r="BA101" s="914"/>
      <c r="BB101" s="914"/>
      <c r="BC101" s="914"/>
      <c r="BD101" s="914"/>
      <c r="BE101" s="914"/>
      <c r="BF101" s="914"/>
      <c r="BG101" s="765">
        <v>10</v>
      </c>
    </row>
    <row customHeight="1" ht="10.5">
      <c r="E102" s="914"/>
      <c r="F102" s="2433"/>
      <c r="G102" s="2433"/>
      <c r="H102" s="2433"/>
      <c r="I102" s="2433"/>
      <c r="J102" s="2433"/>
      <c r="K102" s="918"/>
      <c r="L102" s="1134"/>
      <c r="M102" s="1134"/>
      <c r="N102" s="920"/>
      <c r="O102" s="920"/>
      <c r="P102" s="920"/>
      <c r="Q102" s="920"/>
      <c r="R102" s="920"/>
      <c r="S102" s="920"/>
      <c r="T102" s="920"/>
      <c r="U102" s="920"/>
      <c r="V102" s="920"/>
      <c r="W102" s="920"/>
      <c r="X102" s="920"/>
      <c r="Y102" s="920"/>
      <c r="Z102" s="918"/>
      <c r="AA102" s="918"/>
      <c r="AB102" s="918"/>
      <c r="AC102" s="918"/>
      <c r="AD102" s="1134"/>
      <c r="AE102" s="918"/>
      <c r="AF102" s="918"/>
      <c r="AG102" s="918"/>
      <c r="AH102" s="1153"/>
      <c r="AI102" s="1146"/>
      <c r="AJ102" s="918"/>
      <c r="AK102" s="918"/>
      <c r="AL102" s="914"/>
      <c r="AM102" s="914"/>
      <c r="AN102" s="914"/>
      <c r="AO102" s="914"/>
      <c r="AP102" s="914"/>
      <c r="AQ102" s="914"/>
      <c r="AR102" s="914"/>
      <c r="AS102" s="914"/>
      <c r="AT102" s="914"/>
      <c r="AU102" s="914"/>
      <c r="AV102" s="914"/>
      <c r="AW102" s="914"/>
      <c r="AX102" s="914"/>
      <c r="AY102" s="914"/>
      <c r="AZ102" s="914"/>
      <c r="BA102" s="914"/>
      <c r="BB102" s="914"/>
      <c r="BC102" s="914"/>
      <c r="BD102" s="914"/>
      <c r="BE102" s="914"/>
      <c r="BF102" s="914"/>
      <c r="BG102" s="765">
        <v>10</v>
      </c>
    </row>
    <row customHeight="1" ht="10.5" hidden="1">
      <c r="A103" s="902" t="s">
        <v>82</v>
      </c>
      <c r="B103" s="902">
        <v>0</v>
      </c>
      <c r="C103" s="902">
        <v>0</v>
      </c>
      <c r="D103" s="424">
        <v>0</v>
      </c>
      <c r="E103" s="516">
        <v>3</v>
      </c>
      <c r="F103" s="765">
        <v>14</v>
      </c>
      <c r="G103" s="765">
        <v>3</v>
      </c>
      <c r="H103" s="1162">
        <v>7</v>
      </c>
      <c r="I103" s="765">
        <v>16</v>
      </c>
      <c r="J103" s="765">
        <v>16</v>
      </c>
      <c r="K103" s="765">
        <v>25</v>
      </c>
      <c r="L103" s="1132">
        <v>7</v>
      </c>
      <c r="M103" s="1132">
        <v>15</v>
      </c>
      <c r="N103" s="765">
        <v>3</v>
      </c>
      <c r="O103" s="765">
        <v>4</v>
      </c>
      <c r="P103" s="765">
        <v>8</v>
      </c>
      <c r="Q103" s="765">
        <v>21</v>
      </c>
      <c r="R103" s="765">
        <v>14</v>
      </c>
      <c r="S103" s="765">
        <v>17</v>
      </c>
      <c r="T103" s="765">
        <v>17</v>
      </c>
      <c r="U103" s="765">
        <v>9</v>
      </c>
      <c r="V103" s="765">
        <v>12</v>
      </c>
      <c r="W103" s="765">
        <v>9</v>
      </c>
      <c r="X103" s="765">
        <v>21</v>
      </c>
      <c r="Y103" s="765">
        <v>12</v>
      </c>
      <c r="Z103" s="765">
        <v>3</v>
      </c>
      <c r="AA103" s="765">
        <v>6</v>
      </c>
      <c r="AB103" s="765">
        <v>38</v>
      </c>
      <c r="AC103" s="765">
        <v>15</v>
      </c>
      <c r="AD103" s="1132">
        <v>0</v>
      </c>
      <c r="AE103" s="765">
        <v>0</v>
      </c>
      <c r="AF103" s="765">
        <v>16</v>
      </c>
      <c r="AG103" s="765">
        <v>16</v>
      </c>
      <c r="AH103" s="1151">
        <v>16</v>
      </c>
      <c r="AI103" s="1144">
        <v>0</v>
      </c>
      <c r="AJ103" s="765">
        <v>0</v>
      </c>
      <c r="AK103" s="765">
        <v>0</v>
      </c>
      <c r="AL103" s="765">
        <v>8</v>
      </c>
      <c r="AM103" s="765">
        <v>8</v>
      </c>
      <c r="AN103" s="765">
        <v>8</v>
      </c>
      <c r="AO103" s="765">
        <v>8</v>
      </c>
      <c r="AP103" s="765">
        <v>8</v>
      </c>
      <c r="AQ103" s="765">
        <v>8</v>
      </c>
      <c r="AR103" s="765">
        <v>8</v>
      </c>
      <c r="AS103" s="765">
        <v>8</v>
      </c>
      <c r="AT103" s="765">
        <v>8</v>
      </c>
      <c r="AU103" s="765">
        <v>8</v>
      </c>
      <c r="AV103" s="765">
        <v>8</v>
      </c>
      <c r="AW103" s="765">
        <v>8</v>
      </c>
      <c r="AX103" s="765">
        <v>8</v>
      </c>
      <c r="AY103" s="765">
        <v>8</v>
      </c>
      <c r="AZ103" s="765">
        <v>8</v>
      </c>
      <c r="BA103" s="765">
        <v>8</v>
      </c>
      <c r="BB103" s="765">
        <v>8</v>
      </c>
      <c r="BC103" s="765">
        <v>8</v>
      </c>
      <c r="BD103" s="765">
        <v>8</v>
      </c>
      <c r="BE103" s="765">
        <v>8</v>
      </c>
      <c r="BF103" s="765">
        <v>8</v>
      </c>
      <c r="BG103" s="765">
        <v>10</v>
      </c>
    </row>
  </sheetData>
  <sheetProtection formatColumns="0" formatRows="0" autoFilter="0" sort="0" insertRows="0" insertColumns="1" deleteRows="0" deleteColumns="0"/>
  <mergeCells count="417">
    <mergeCell ref="AB9:AE10"/>
    <mergeCell ref="S11:Y11"/>
    <mergeCell ref="N10:Y10"/>
    <mergeCell ref="K9:Y9"/>
    <mergeCell ref="N11:O12"/>
    <mergeCell ref="P11:P12"/>
    <mergeCell ref="Q11:Q12"/>
    <mergeCell ref="F102:J102"/>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01:J101"/>
    <mergeCell ref="F100:J100"/>
    <mergeCell ref="F5:K5"/>
    <mergeCell ref="P16:P18"/>
    <mergeCell ref="Q16:Q18"/>
    <mergeCell ref="R16:R18"/>
    <mergeCell ref="G15:G19"/>
    <mergeCell ref="AJ15:AJ19"/>
    <mergeCell ref="AK15:AK19"/>
    <mergeCell ref="I25:K25"/>
    <mergeCell ref="F15:F2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7:P29"/>
    <mergeCell ref="Q27:Q29"/>
    <mergeCell ref="R27:R29"/>
    <mergeCell ref="G26:G30"/>
    <mergeCell ref="AJ26:AJ30"/>
    <mergeCell ref="AK26:AK30"/>
    <mergeCell ref="I41:K41"/>
    <mergeCell ref="F26:F41"/>
    <mergeCell ref="AF26:AF30"/>
    <mergeCell ref="AG26:AG30"/>
    <mergeCell ref="AH26:AH30"/>
    <mergeCell ref="AI26:AI30"/>
    <mergeCell ref="S27:S29"/>
    <mergeCell ref="T27:T29"/>
    <mergeCell ref="U27:U29"/>
    <mergeCell ref="V27:V29"/>
    <mergeCell ref="W27:W29"/>
    <mergeCell ref="X27:X29"/>
    <mergeCell ref="Y27:Y29"/>
    <mergeCell ref="H26:H30"/>
    <mergeCell ref="I26:I30"/>
    <mergeCell ref="J26:J30"/>
    <mergeCell ref="K26:K30"/>
    <mergeCell ref="L26:L30"/>
    <mergeCell ref="M26:M30"/>
    <mergeCell ref="N27:N29"/>
    <mergeCell ref="O27:O29"/>
    <mergeCell ref="P43:P45"/>
    <mergeCell ref="Q43:Q45"/>
    <mergeCell ref="R43:R45"/>
    <mergeCell ref="G42:G46"/>
    <mergeCell ref="AJ42:AJ46"/>
    <mergeCell ref="AK42:AK46"/>
    <mergeCell ref="I52:K52"/>
    <mergeCell ref="F42:F52"/>
    <mergeCell ref="AF42:AF46"/>
    <mergeCell ref="AG42:AG46"/>
    <mergeCell ref="AH42:AH46"/>
    <mergeCell ref="AI42:AI46"/>
    <mergeCell ref="S43:S45"/>
    <mergeCell ref="T43:T45"/>
    <mergeCell ref="U43:U45"/>
    <mergeCell ref="V43:V45"/>
    <mergeCell ref="W43:W45"/>
    <mergeCell ref="X43:X45"/>
    <mergeCell ref="Y43:Y45"/>
    <mergeCell ref="H42:H46"/>
    <mergeCell ref="I42:I46"/>
    <mergeCell ref="J42:J46"/>
    <mergeCell ref="K42:K46"/>
    <mergeCell ref="L42:L46"/>
    <mergeCell ref="M42:M46"/>
    <mergeCell ref="N43:N45"/>
    <mergeCell ref="O43:O45"/>
    <mergeCell ref="P54:P56"/>
    <mergeCell ref="Q54:Q56"/>
    <mergeCell ref="R54:R56"/>
    <mergeCell ref="G53:G57"/>
    <mergeCell ref="AJ53:AJ57"/>
    <mergeCell ref="AK53:AK57"/>
    <mergeCell ref="I63:K63"/>
    <mergeCell ref="F53:F63"/>
    <mergeCell ref="AF53:AF57"/>
    <mergeCell ref="AG53:AG57"/>
    <mergeCell ref="AH53:AH57"/>
    <mergeCell ref="AI53:AI57"/>
    <mergeCell ref="S54:S56"/>
    <mergeCell ref="T54:T56"/>
    <mergeCell ref="U54:U56"/>
    <mergeCell ref="V54:V56"/>
    <mergeCell ref="W54:W56"/>
    <mergeCell ref="X54:X56"/>
    <mergeCell ref="Y54:Y56"/>
    <mergeCell ref="H53:H57"/>
    <mergeCell ref="I53:I57"/>
    <mergeCell ref="J53:J57"/>
    <mergeCell ref="K53:K57"/>
    <mergeCell ref="L53:L57"/>
    <mergeCell ref="M53:M57"/>
    <mergeCell ref="N54:N56"/>
    <mergeCell ref="O54:O56"/>
    <mergeCell ref="P65:P67"/>
    <mergeCell ref="Q65:Q67"/>
    <mergeCell ref="R65:R67"/>
    <mergeCell ref="G64:G68"/>
    <mergeCell ref="AJ64:AJ68"/>
    <mergeCell ref="AK64:AK68"/>
    <mergeCell ref="I74:K74"/>
    <mergeCell ref="F64:F74"/>
    <mergeCell ref="AF64:AF68"/>
    <mergeCell ref="AG64:AG68"/>
    <mergeCell ref="AH64:AH68"/>
    <mergeCell ref="AI64:AI68"/>
    <mergeCell ref="S65:S67"/>
    <mergeCell ref="T65:T67"/>
    <mergeCell ref="U65:U67"/>
    <mergeCell ref="V65:V67"/>
    <mergeCell ref="W65:W67"/>
    <mergeCell ref="X65:X67"/>
    <mergeCell ref="Y65:Y67"/>
    <mergeCell ref="H64:H68"/>
    <mergeCell ref="I64:I68"/>
    <mergeCell ref="J64:J68"/>
    <mergeCell ref="K64:K68"/>
    <mergeCell ref="L64:L68"/>
    <mergeCell ref="M64:M68"/>
    <mergeCell ref="N65:N67"/>
    <mergeCell ref="O65:O67"/>
    <mergeCell ref="P76:P78"/>
    <mergeCell ref="Q76:Q78"/>
    <mergeCell ref="R76:R78"/>
    <mergeCell ref="G75:G79"/>
    <mergeCell ref="AJ75:AJ79"/>
    <mergeCell ref="AK75:AK79"/>
    <mergeCell ref="I85:K85"/>
    <mergeCell ref="F75:F85"/>
    <mergeCell ref="AF75:AF79"/>
    <mergeCell ref="AG75:AG79"/>
    <mergeCell ref="AH75:AH79"/>
    <mergeCell ref="AI75:AI79"/>
    <mergeCell ref="S76:S78"/>
    <mergeCell ref="T76:T78"/>
    <mergeCell ref="U76:U78"/>
    <mergeCell ref="V76:V78"/>
    <mergeCell ref="W76:W78"/>
    <mergeCell ref="X76:X78"/>
    <mergeCell ref="Y76:Y78"/>
    <mergeCell ref="H75:H79"/>
    <mergeCell ref="I75:I79"/>
    <mergeCell ref="J75:J79"/>
    <mergeCell ref="K75:K79"/>
    <mergeCell ref="L75:L79"/>
    <mergeCell ref="M75:M79"/>
    <mergeCell ref="N76:N78"/>
    <mergeCell ref="O76:O78"/>
    <mergeCell ref="P87:P89"/>
    <mergeCell ref="Q87:Q89"/>
    <mergeCell ref="R87:R89"/>
    <mergeCell ref="G86:G90"/>
    <mergeCell ref="AJ86:AJ90"/>
    <mergeCell ref="AK86:AK90"/>
    <mergeCell ref="I96:K96"/>
    <mergeCell ref="F86:F96"/>
    <mergeCell ref="AF86:AF90"/>
    <mergeCell ref="AG86:AG90"/>
    <mergeCell ref="AH86:AH90"/>
    <mergeCell ref="AI86:AI90"/>
    <mergeCell ref="S87:S89"/>
    <mergeCell ref="T87:T89"/>
    <mergeCell ref="U87:U89"/>
    <mergeCell ref="V87:V89"/>
    <mergeCell ref="W87:W89"/>
    <mergeCell ref="X87:X89"/>
    <mergeCell ref="Y87:Y89"/>
    <mergeCell ref="H86:H90"/>
    <mergeCell ref="I86:I90"/>
    <mergeCell ref="J86:J90"/>
    <mergeCell ref="K86:K90"/>
    <mergeCell ref="L86:L90"/>
    <mergeCell ref="M86:M90"/>
    <mergeCell ref="N87:N89"/>
    <mergeCell ref="O87:O89"/>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7:H51"/>
    <mergeCell ref="I47:I51"/>
    <mergeCell ref="J47:J51"/>
    <mergeCell ref="K47:K51"/>
    <mergeCell ref="L47:L51"/>
    <mergeCell ref="M47:M51"/>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G47:G51"/>
    <mergeCell ref="H58:H62"/>
    <mergeCell ref="I58:I62"/>
    <mergeCell ref="J58:J62"/>
    <mergeCell ref="K58:K62"/>
    <mergeCell ref="L58:L62"/>
    <mergeCell ref="M58:M62"/>
    <mergeCell ref="AF58:AF62"/>
    <mergeCell ref="AG58:AG62"/>
    <mergeCell ref="AH58:AH62"/>
    <mergeCell ref="AI58:AI62"/>
    <mergeCell ref="AJ58:AJ62"/>
    <mergeCell ref="AK58:AK62"/>
    <mergeCell ref="N59:N61"/>
    <mergeCell ref="O59:O61"/>
    <mergeCell ref="P59:P61"/>
    <mergeCell ref="Q59:Q61"/>
    <mergeCell ref="R59:R61"/>
    <mergeCell ref="S59:S61"/>
    <mergeCell ref="T59:T61"/>
    <mergeCell ref="U59:U61"/>
    <mergeCell ref="V59:V61"/>
    <mergeCell ref="W59:W61"/>
    <mergeCell ref="X59:X61"/>
    <mergeCell ref="Y59:Y61"/>
    <mergeCell ref="G58:G62"/>
    <mergeCell ref="H69:H73"/>
    <mergeCell ref="I69:I73"/>
    <mergeCell ref="J69:J73"/>
    <mergeCell ref="K69:K73"/>
    <mergeCell ref="L69:L73"/>
    <mergeCell ref="M69:M73"/>
    <mergeCell ref="AF69:AF73"/>
    <mergeCell ref="AG69:AG73"/>
    <mergeCell ref="AH69:AH73"/>
    <mergeCell ref="AI69:AI73"/>
    <mergeCell ref="AJ69:AJ73"/>
    <mergeCell ref="AK69:AK73"/>
    <mergeCell ref="N70:N72"/>
    <mergeCell ref="O70:O72"/>
    <mergeCell ref="P70:P72"/>
    <mergeCell ref="Q70:Q72"/>
    <mergeCell ref="R70:R72"/>
    <mergeCell ref="S70:S72"/>
    <mergeCell ref="T70:T72"/>
    <mergeCell ref="U70:U72"/>
    <mergeCell ref="V70:V72"/>
    <mergeCell ref="W70:W72"/>
    <mergeCell ref="X70:X72"/>
    <mergeCell ref="Y70:Y72"/>
    <mergeCell ref="G69:G73"/>
    <mergeCell ref="H80:H84"/>
    <mergeCell ref="I80:I84"/>
    <mergeCell ref="J80:J84"/>
    <mergeCell ref="K80:K84"/>
    <mergeCell ref="L80:L84"/>
    <mergeCell ref="M80:M84"/>
    <mergeCell ref="AF80:AF84"/>
    <mergeCell ref="AG80:AG84"/>
    <mergeCell ref="AH80:AH84"/>
    <mergeCell ref="AI80:AI84"/>
    <mergeCell ref="AJ80:AJ84"/>
    <mergeCell ref="AK80:AK84"/>
    <mergeCell ref="N81:N83"/>
    <mergeCell ref="O81:O83"/>
    <mergeCell ref="P81:P83"/>
    <mergeCell ref="Q81:Q83"/>
    <mergeCell ref="R81:R83"/>
    <mergeCell ref="S81:S83"/>
    <mergeCell ref="T81:T83"/>
    <mergeCell ref="U81:U83"/>
    <mergeCell ref="V81:V83"/>
    <mergeCell ref="W81:W83"/>
    <mergeCell ref="X81:X83"/>
    <mergeCell ref="Y81:Y83"/>
    <mergeCell ref="G80:G84"/>
    <mergeCell ref="H91:H95"/>
    <mergeCell ref="I91:I95"/>
    <mergeCell ref="J91:J95"/>
    <mergeCell ref="K91:K95"/>
    <mergeCell ref="L91:L95"/>
    <mergeCell ref="M91:M95"/>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91:G95"/>
  </mergeCells>
  <dataValidations count="375">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textLength" operator="lessThanOrEqual" allowBlank="1" showInputMessage="1" showErrorMessage="1" errorTitle="Ошибка" error="Допускается ввод не более 900 символов!" sqref="M91">
      <formula1>900</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M75">
      <formula1>900</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M64">
      <formula1>900</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M53">
      <formula1>900</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M42">
      <formula1>900</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999A7-2B78-6562-1C5A-A20BAEFB060E}" mc:Ignorable="x14ac xr xr2 xr3">
  <sheetPr>
    <tabColor theme="9" tint="-0.25"/>
  </sheetPr>
  <dimension ref="A1:AF59"/>
  <sheetViews>
    <sheetView showGridLines="0" zoomScale="85" workbookViewId="0">
      <pane xSplit="9" ySplit="13" topLeftCell="J14" activePane="bottomRight" state="frozen"/>
      <selection pane="bottomLeft" activeCell="A14" sqref="A14"/>
      <selection pane="topRight" activeCell="J1" sqref="J1"/>
      <selection pane="bottomRight" activeCell="R1" sqref="R1:R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8" style="1642" width="21.7109375" hidden="1" customWidth="1"/>
    <col min="19" max="19" style="1642" width="0.140625" customWidth="1"/>
    <col min="20" max="20" style="1642" width="1.00390625" customWidth="1"/>
    <col min="21" max="31" style="1642" width="8.00390625" customWidth="1"/>
    <col min="32" max="32" style="1642" width="9.140625" hidden="1"/>
  </cols>
  <sheetData>
    <row s="1373" customFormat="1" customHeight="1" ht="10.5" hidden="1">
      <c r="A1" s="1173"/>
      <c r="B1" s="1173"/>
      <c r="C1" s="1173"/>
      <c r="E1" s="544"/>
      <c r="K1" s="1373"/>
      <c r="L1" s="1373"/>
      <c r="M1" s="1373"/>
      <c r="N1" s="1373"/>
      <c r="O1" s="1373"/>
      <c r="P1" s="1373"/>
      <c r="Q1" s="1373"/>
      <c r="R1" s="1373"/>
      <c r="S1" s="1373"/>
      <c r="AF1" s="1167" t="s">
        <v>14</v>
      </c>
    </row>
    <row customHeight="1" ht="10.5" hidden="1">
      <c r="K2" s="1642"/>
      <c r="L2" s="1642"/>
      <c r="M2" s="1642"/>
      <c r="N2" s="1642"/>
      <c r="O2" s="1642"/>
      <c r="P2" s="1642"/>
      <c r="Q2" s="1642"/>
      <c r="R2" s="1642"/>
      <c r="S2" s="1642"/>
      <c r="AF2" s="1162">
        <v>0</v>
      </c>
    </row>
    <row s="1639" customFormat="1" customHeight="1" ht="10.5" hidden="1">
      <c r="A3" s="1173"/>
      <c r="B3" s="1173"/>
      <c r="C3" s="1173"/>
      <c r="D3" s="1167"/>
      <c r="E3" s="369"/>
      <c r="K3" s="1639"/>
      <c r="L3" s="1639"/>
      <c r="M3" s="1639"/>
      <c r="N3" s="1639"/>
      <c r="O3" s="1639"/>
      <c r="P3" s="1639"/>
      <c r="Q3" s="1639"/>
      <c r="R3" s="1639"/>
      <c r="S3" s="1639"/>
      <c r="AF3" s="1163">
        <v>0</v>
      </c>
    </row>
    <row customHeight="1" ht="3">
      <c r="K4" s="1642"/>
      <c r="L4" s="1642"/>
      <c r="M4" s="1642"/>
      <c r="N4" s="1642"/>
      <c r="O4" s="1642"/>
      <c r="P4" s="1642"/>
      <c r="Q4" s="1642"/>
      <c r="R4" s="1642"/>
      <c r="S4" s="1642"/>
      <c r="AF4" s="1162">
        <v>3</v>
      </c>
    </row>
    <row customHeight="1" ht="27.299999999999997">
      <c r="F5" s="227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4"/>
      <c r="H5" s="2274"/>
      <c r="I5" s="2274"/>
      <c r="J5" s="2274"/>
      <c r="K5" s="2274"/>
      <c r="L5" s="2274"/>
      <c r="M5" s="2274"/>
      <c r="N5" s="2274"/>
      <c r="O5" s="2274"/>
      <c r="P5" s="2274"/>
      <c r="Q5" s="2274"/>
      <c r="R5" s="2274"/>
      <c r="S5" s="2274"/>
      <c r="AF5" s="1162">
        <v>26</v>
      </c>
    </row>
    <row customHeight="1" ht="10.5">
      <c r="F6" s="2202" t="str">
        <f>IF(org=0,"Не определено",org)</f>
        <v>Общество с ограниченной ответственностью "Сигнал", г. Серов</v>
      </c>
      <c r="G6" s="2202"/>
      <c r="H6" s="2202"/>
      <c r="I6" s="2202"/>
      <c r="J6" s="2202"/>
      <c r="K6" s="2275"/>
      <c r="L6" s="2275"/>
      <c r="M6" s="2275"/>
      <c r="N6" s="2275"/>
      <c r="O6" s="2275"/>
      <c r="P6" s="2275"/>
      <c r="Q6" s="2275"/>
      <c r="R6" s="2275"/>
      <c r="S6" s="2275"/>
      <c r="AF6" s="1162">
        <v>10</v>
      </c>
    </row>
    <row customHeight="1" ht="11.549999999999999">
      <c r="E7" s="1177"/>
      <c r="F7" s="1234"/>
      <c r="G7" s="1234"/>
      <c r="H7" s="1234"/>
      <c r="I7" s="1234"/>
      <c r="J7" s="1234"/>
      <c r="K7" s="1234" t="s">
        <v>22</v>
      </c>
      <c r="L7" s="1234"/>
      <c r="M7" s="1234" t="s">
        <v>22</v>
      </c>
      <c r="N7" s="1234" t="s">
        <v>22</v>
      </c>
      <c r="O7" s="1234" t="s">
        <v>22</v>
      </c>
      <c r="P7" s="1234" t="s">
        <v>22</v>
      </c>
      <c r="Q7" s="1234" t="s">
        <v>22</v>
      </c>
      <c r="R7" s="1234" t="s">
        <v>22</v>
      </c>
      <c r="S7" s="1234"/>
      <c r="T7" s="1164"/>
      <c r="U7" s="1164"/>
      <c r="V7" s="1164"/>
      <c r="W7" s="1164"/>
      <c r="X7" s="1164"/>
      <c r="Y7" s="1164"/>
      <c r="Z7" s="1164"/>
      <c r="AA7" s="1164"/>
      <c r="AB7" s="1164"/>
      <c r="AC7" s="1164"/>
      <c r="AD7" s="1164"/>
      <c r="AE7" s="1164"/>
      <c r="AF7" s="1162">
        <v>11</v>
      </c>
    </row>
    <row s="1649" customFormat="1" customHeight="1" ht="4.2">
      <c r="A8" s="1174"/>
      <c r="B8" s="1174"/>
      <c r="C8" s="1174"/>
      <c r="E8" s="1235"/>
      <c r="F8" s="1236"/>
      <c r="G8" s="1236"/>
      <c r="H8" s="1236"/>
      <c r="I8" s="1236"/>
      <c r="J8" s="1236"/>
      <c r="K8" s="1236" t="s">
        <v>1020</v>
      </c>
      <c r="L8" s="1236"/>
      <c r="M8" s="1236"/>
      <c r="N8" s="1236"/>
      <c r="O8" s="1236"/>
      <c r="P8" s="1236"/>
      <c r="Q8" s="1236"/>
      <c r="R8" s="1236"/>
      <c r="S8" s="1236"/>
      <c r="T8" s="1235"/>
      <c r="U8" s="1235"/>
      <c r="V8" s="1235"/>
      <c r="W8" s="1235"/>
      <c r="X8" s="1235"/>
      <c r="Y8" s="1235"/>
      <c r="Z8" s="1235"/>
      <c r="AA8" s="1235"/>
      <c r="AB8" s="1235"/>
      <c r="AC8" s="1235"/>
      <c r="AD8" s="1235"/>
      <c r="AE8" s="1235"/>
      <c r="AF8" s="518">
        <v>4</v>
      </c>
    </row>
    <row customHeight="1" ht="10.5">
      <c r="E9" s="1177"/>
      <c r="F9" s="2445" t="s">
        <v>299</v>
      </c>
      <c r="G9" s="2446"/>
      <c r="H9" s="2446"/>
      <c r="I9" s="2446"/>
      <c r="J9" s="2446"/>
      <c r="K9" s="2446"/>
      <c r="L9" s="2446"/>
      <c r="M9" s="2446"/>
      <c r="N9" s="2446"/>
      <c r="O9" s="2446"/>
      <c r="P9" s="2446"/>
      <c r="Q9" s="2446"/>
      <c r="R9" s="2446"/>
      <c r="S9" s="2446"/>
      <c r="T9" s="1247"/>
      <c r="U9" s="1164"/>
      <c r="V9" s="1164"/>
      <c r="W9" s="1164"/>
      <c r="X9" s="1164"/>
      <c r="Y9" s="1164"/>
      <c r="Z9" s="1164"/>
      <c r="AA9" s="1164"/>
      <c r="AB9" s="1164"/>
      <c r="AC9" s="1164"/>
      <c r="AD9" s="1164"/>
      <c r="AE9" s="1164"/>
      <c r="AF9" s="1162">
        <v>10</v>
      </c>
    </row>
    <row customHeight="1" ht="25.2">
      <c r="E10" s="1164"/>
      <c r="F10" s="2449" t="s">
        <v>88</v>
      </c>
      <c r="G10" s="2454" t="s">
        <v>1063</v>
      </c>
      <c r="H10" s="2452" t="s">
        <v>1064</v>
      </c>
      <c r="I10" s="2452"/>
      <c r="J10" s="2452"/>
      <c r="K10" s="2452" t="s">
        <v>1064</v>
      </c>
      <c r="L10" s="2452"/>
      <c r="M10" s="2452"/>
      <c r="N10" s="2452"/>
      <c r="O10" s="2452"/>
      <c r="P10" s="2452"/>
      <c r="Q10" s="2452"/>
      <c r="R10" s="2452"/>
      <c r="S10" s="2452"/>
      <c r="T10" s="1240"/>
      <c r="U10" s="1164"/>
      <c r="V10" s="1164"/>
      <c r="W10" s="1164"/>
      <c r="X10" s="1164"/>
      <c r="Y10" s="1164"/>
      <c r="Z10" s="1164"/>
      <c r="AA10" s="1164"/>
      <c r="AB10" s="1164"/>
      <c r="AC10" s="1164"/>
      <c r="AD10" s="1164"/>
      <c r="AE10" s="1164"/>
      <c r="AF10" s="1162">
        <v>24</v>
      </c>
    </row>
    <row customHeight="1" ht="25.5">
      <c r="E11" s="1164"/>
      <c r="F11" s="2450"/>
      <c r="G11" s="2454"/>
      <c r="H11" s="2453">
        <f>INDEX(IP_MAIN_LIST_NAME_IP,MATCH(H8,IP_MAIN_LIST_IP_ID,0))&amp;" ("&amp;INDEX(IP_MAIN_START_DATE,MATCH(H8,IP_MAIN_LIST_IP_ID,0))&amp;"-"&amp;INDEX(IP_MAIN_END_DATE,MATCH(H8,IP_MAIN_LIST_IP_ID,0))&amp;")"</f>
      </c>
      <c r="I11" s="2453"/>
      <c r="J11" s="2453"/>
      <c r="K11" s="2453" t="str">
        <f>INDEX(IP_MAIN_LIST_NAME_IP,MATCH(K8,IP_MAIN_LIST_IP_ID,0))&amp;" ("&amp;INDEX(IP_MAIN_START_DATE,MATCH(K8,IP_MAIN_LIST_IP_ID,0))&amp;"-"&amp;INDEX(IP_MAIN_END_DATE,MATCH(K8,IP_MAIN_LIST_IP_ID,0))&amp;")"</f>
        <v>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 (18.10.2023-31.12.2029)</v>
      </c>
      <c r="L11" s="2453"/>
      <c r="M11" s="2453"/>
      <c r="N11" s="2453"/>
      <c r="O11" s="2453"/>
      <c r="P11" s="2453"/>
      <c r="Q11" s="2453"/>
      <c r="R11" s="2453"/>
      <c r="S11" s="2453"/>
      <c r="T11" s="1240"/>
      <c r="U11" s="1164"/>
      <c r="V11" s="1164"/>
      <c r="W11" s="1164"/>
      <c r="X11" s="1164"/>
      <c r="Y11" s="1164"/>
      <c r="Z11" s="1164"/>
      <c r="AA11" s="1164"/>
      <c r="AB11" s="1164"/>
      <c r="AC11" s="1164"/>
      <c r="AD11" s="1164"/>
      <c r="AE11" s="1164"/>
      <c r="AF11" s="1162">
        <v>24</v>
      </c>
    </row>
    <row customHeight="1" ht="10.5">
      <c r="F12" s="2451"/>
      <c r="G12" s="2454"/>
      <c r="H12" s="1233" t="s">
        <v>1065</v>
      </c>
      <c r="I12" s="1239"/>
      <c r="J12" s="1233"/>
      <c r="K12" s="2454" t="s">
        <v>1065</v>
      </c>
      <c r="L12" s="1239">
        <v>2023</v>
      </c>
      <c r="M12" s="1239">
        <v>2024</v>
      </c>
      <c r="N12" s="1239">
        <v>2025</v>
      </c>
      <c r="O12" s="1239">
        <v>2026</v>
      </c>
      <c r="P12" s="1239">
        <v>2027</v>
      </c>
      <c r="Q12" s="1239">
        <v>2028</v>
      </c>
      <c r="R12" s="1239">
        <v>2029</v>
      </c>
      <c r="S12" s="2454"/>
      <c r="T12" s="1241"/>
      <c r="AF12" s="1162">
        <v>10</v>
      </c>
    </row>
    <row customHeight="1" ht="10.5" hidden="1">
      <c r="F13" s="1233">
        <v>1</v>
      </c>
      <c r="G13" s="1233">
        <v>2</v>
      </c>
      <c r="H13" s="1233">
        <v>3</v>
      </c>
      <c r="I13" s="1233">
        <v>4</v>
      </c>
      <c r="J13" s="1233">
        <v>5</v>
      </c>
      <c r="K13" s="2454">
        <v>3</v>
      </c>
      <c r="L13" s="2454">
        <v>4</v>
      </c>
      <c r="M13" s="2454">
        <v>4</v>
      </c>
      <c r="N13" s="2454">
        <v>4</v>
      </c>
      <c r="O13" s="2454">
        <v>4</v>
      </c>
      <c r="P13" s="2454">
        <v>4</v>
      </c>
      <c r="Q13" s="2454">
        <v>4</v>
      </c>
      <c r="R13" s="2454">
        <v>4</v>
      </c>
      <c r="S13" s="2454">
        <v>5</v>
      </c>
      <c r="T13" s="1241"/>
      <c r="AF13" s="1162">
        <v>0</v>
      </c>
    </row>
    <row customHeight="1" ht="11.549999999999999">
      <c r="F14" s="1232" t="s">
        <v>1066</v>
      </c>
      <c r="G14" s="2447" t="s">
        <v>1067</v>
      </c>
      <c r="H14" s="2447"/>
      <c r="I14" s="2447"/>
      <c r="J14" s="2447"/>
      <c r="K14" s="2447"/>
      <c r="L14" s="2447"/>
      <c r="M14" s="2447"/>
      <c r="N14" s="2447"/>
      <c r="O14" s="2447"/>
      <c r="P14" s="2447"/>
      <c r="Q14" s="2447"/>
      <c r="R14" s="2447"/>
      <c r="S14" s="2447"/>
      <c r="T14" s="1241"/>
      <c r="AF14" s="1162">
        <v>11</v>
      </c>
    </row>
    <row customHeight="1" ht="11.549999999999999">
      <c r="F15" s="1237">
        <v>1</v>
      </c>
      <c r="G15" s="697" t="s">
        <v>1068</v>
      </c>
      <c r="H15" s="1243">
        <f>SUM(I15:J15)</f>
        <v>0</v>
      </c>
      <c r="I15" s="1243">
        <f>SUM(I16:I27)</f>
        <v>0</v>
      </c>
      <c r="J15" s="1232"/>
      <c r="K15" s="1243">
        <f>SUM(L15:S15)</f>
        <v>0</v>
      </c>
      <c r="L15" s="1243">
        <f>SUM(L16:L27)</f>
        <v>0</v>
      </c>
      <c r="M15" s="1243">
        <f>SUM(M16:M27)</f>
        <v>0</v>
      </c>
      <c r="N15" s="1243">
        <f>SUM(N16:N27)</f>
        <v>0</v>
      </c>
      <c r="O15" s="1243">
        <f>SUM(O16:O27)</f>
        <v>0</v>
      </c>
      <c r="P15" s="1243">
        <f>SUM(P16:P27)</f>
        <v>0</v>
      </c>
      <c r="Q15" s="1243">
        <f>SUM(Q16:Q27)</f>
        <v>0</v>
      </c>
      <c r="R15" s="1243">
        <f>SUM(R16:R27)</f>
        <v>0</v>
      </c>
      <c r="S15" s="2452"/>
      <c r="T15" s="1241"/>
      <c r="AF15" s="1162">
        <v>11</v>
      </c>
    </row>
    <row customHeight="1" ht="24">
      <c r="F16" s="1237" t="s">
        <v>1069</v>
      </c>
      <c r="G16" s="1244" t="s">
        <v>1070</v>
      </c>
      <c r="H16" s="1243">
        <f>SUM(I16:J16)</f>
        <v>0</v>
      </c>
      <c r="I16" s="1242"/>
      <c r="J16" s="1232"/>
      <c r="K16" s="1243">
        <f>SUM(L16:S16)</f>
        <v>0</v>
      </c>
      <c r="L16" s="1242"/>
      <c r="M16" s="1242"/>
      <c r="N16" s="1242"/>
      <c r="O16" s="1242"/>
      <c r="P16" s="1242"/>
      <c r="Q16" s="1242"/>
      <c r="R16" s="1242"/>
      <c r="S16" s="2452"/>
      <c r="T16" s="1241"/>
      <c r="AF16" s="1162">
        <v>23</v>
      </c>
    </row>
    <row customHeight="1" ht="24">
      <c r="F17" s="1237" t="s">
        <v>1071</v>
      </c>
      <c r="G17" s="1244" t="s">
        <v>1072</v>
      </c>
      <c r="H17" s="1243">
        <f>SUM(I17:J17)</f>
        <v>0</v>
      </c>
      <c r="I17" s="1242"/>
      <c r="J17" s="1232"/>
      <c r="K17" s="1243">
        <f>SUM(L17:S17)</f>
        <v>0</v>
      </c>
      <c r="L17" s="1242"/>
      <c r="M17" s="1242"/>
      <c r="N17" s="1242"/>
      <c r="O17" s="1242"/>
      <c r="P17" s="1242"/>
      <c r="Q17" s="1242"/>
      <c r="R17" s="1242"/>
      <c r="S17" s="2452"/>
      <c r="T17" s="1241"/>
      <c r="AF17" s="1162">
        <v>23</v>
      </c>
    </row>
    <row customHeight="1" ht="35.699999999999996">
      <c r="F18" s="1237" t="s">
        <v>1073</v>
      </c>
      <c r="G18" s="1244" t="s">
        <v>1074</v>
      </c>
      <c r="H18" s="1243">
        <f>SUM(I18:J18)</f>
        <v>0</v>
      </c>
      <c r="I18" s="1242"/>
      <c r="J18" s="1232"/>
      <c r="K18" s="1243">
        <f>SUM(L18:S18)</f>
        <v>0</v>
      </c>
      <c r="L18" s="1242"/>
      <c r="M18" s="1242"/>
      <c r="N18" s="1242"/>
      <c r="O18" s="1242"/>
      <c r="P18" s="1242"/>
      <c r="Q18" s="1242"/>
      <c r="R18" s="1242"/>
      <c r="S18" s="2452"/>
      <c r="T18" s="1241"/>
      <c r="AF18" s="1162">
        <v>34</v>
      </c>
    </row>
    <row customHeight="1" ht="35.699999999999996">
      <c r="F19" s="1237" t="s">
        <v>1075</v>
      </c>
      <c r="G19" s="1244" t="s">
        <v>1076</v>
      </c>
      <c r="H19" s="1243">
        <f>SUM(I19:J19)</f>
        <v>0</v>
      </c>
      <c r="I19" s="1242"/>
      <c r="J19" s="1232"/>
      <c r="K19" s="1243">
        <f>SUM(L19:S19)</f>
        <v>0</v>
      </c>
      <c r="L19" s="1242"/>
      <c r="M19" s="1242"/>
      <c r="N19" s="1242"/>
      <c r="O19" s="1242"/>
      <c r="P19" s="1242"/>
      <c r="Q19" s="1242"/>
      <c r="R19" s="1242"/>
      <c r="S19" s="2452"/>
      <c r="T19" s="1241"/>
      <c r="AF19" s="1162">
        <v>34</v>
      </c>
    </row>
    <row customHeight="1" ht="48.29999999999999">
      <c r="F20" s="1237" t="s">
        <v>1077</v>
      </c>
      <c r="G20" s="1244" t="s">
        <v>1078</v>
      </c>
      <c r="H20" s="1243">
        <f>SUM(I20:J20)</f>
        <v>0</v>
      </c>
      <c r="I20" s="1242"/>
      <c r="J20" s="1232"/>
      <c r="K20" s="1243">
        <f>SUM(L20:S20)</f>
        <v>0</v>
      </c>
      <c r="L20" s="1242"/>
      <c r="M20" s="1242"/>
      <c r="N20" s="1242"/>
      <c r="O20" s="1242"/>
      <c r="P20" s="1242"/>
      <c r="Q20" s="1242"/>
      <c r="R20" s="1242"/>
      <c r="S20" s="2452"/>
      <c r="T20" s="1241"/>
      <c r="AF20" s="1162">
        <v>46</v>
      </c>
    </row>
    <row customHeight="1" ht="35.699999999999996">
      <c r="F21" s="1237" t="s">
        <v>1079</v>
      </c>
      <c r="G21" s="1244" t="s">
        <v>1080</v>
      </c>
      <c r="H21" s="1243">
        <f>SUM(I21:J21)</f>
        <v>0</v>
      </c>
      <c r="I21" s="1242"/>
      <c r="J21" s="1232"/>
      <c r="K21" s="1243">
        <f>SUM(L21:S21)</f>
        <v>0</v>
      </c>
      <c r="L21" s="1242"/>
      <c r="M21" s="1242"/>
      <c r="N21" s="1242"/>
      <c r="O21" s="1242"/>
      <c r="P21" s="1242"/>
      <c r="Q21" s="1242"/>
      <c r="R21" s="1242"/>
      <c r="S21" s="2452"/>
      <c r="T21" s="1241"/>
      <c r="AF21" s="1162">
        <v>34</v>
      </c>
    </row>
    <row customHeight="1" ht="35.699999999999996">
      <c r="F22" s="1237" t="s">
        <v>1081</v>
      </c>
      <c r="G22" s="1244" t="s">
        <v>1082</v>
      </c>
      <c r="H22" s="1243">
        <f>SUM(I22:J22)</f>
        <v>0</v>
      </c>
      <c r="I22" s="1242"/>
      <c r="J22" s="1232"/>
      <c r="K22" s="1243">
        <f>SUM(L22:S22)</f>
        <v>0</v>
      </c>
      <c r="L22" s="1242"/>
      <c r="M22" s="1242"/>
      <c r="N22" s="1242"/>
      <c r="O22" s="1242"/>
      <c r="P22" s="1242"/>
      <c r="Q22" s="1242"/>
      <c r="R22" s="1242"/>
      <c r="S22" s="2452"/>
      <c r="T22" s="1241"/>
      <c r="AF22" s="1162">
        <v>34</v>
      </c>
    </row>
    <row customHeight="1" ht="24">
      <c r="F23" s="1237" t="s">
        <v>1083</v>
      </c>
      <c r="G23" s="1244" t="s">
        <v>1084</v>
      </c>
      <c r="H23" s="1243">
        <f>SUM(I23:J23)</f>
        <v>0</v>
      </c>
      <c r="I23" s="1242"/>
      <c r="J23" s="1232"/>
      <c r="K23" s="1243">
        <f>SUM(L23:S23)</f>
        <v>0</v>
      </c>
      <c r="L23" s="1242"/>
      <c r="M23" s="1242"/>
      <c r="N23" s="1242"/>
      <c r="O23" s="1242"/>
      <c r="P23" s="1242"/>
      <c r="Q23" s="1242"/>
      <c r="R23" s="1242"/>
      <c r="S23" s="2452"/>
      <c r="T23" s="1241"/>
      <c r="AF23" s="1162">
        <v>23</v>
      </c>
    </row>
    <row customHeight="1" ht="24">
      <c r="F24" s="1237" t="s">
        <v>1085</v>
      </c>
      <c r="G24" s="1244" t="s">
        <v>1086</v>
      </c>
      <c r="H24" s="1243">
        <f>SUM(I24:J24)</f>
        <v>0</v>
      </c>
      <c r="I24" s="1242"/>
      <c r="J24" s="1232"/>
      <c r="K24" s="1243">
        <f>SUM(L24:S24)</f>
        <v>0</v>
      </c>
      <c r="L24" s="1242"/>
      <c r="M24" s="1242"/>
      <c r="N24" s="1242"/>
      <c r="O24" s="1242"/>
      <c r="P24" s="1242"/>
      <c r="Q24" s="1242"/>
      <c r="R24" s="1242"/>
      <c r="S24" s="2452"/>
      <c r="T24" s="1241"/>
      <c r="AF24" s="1162">
        <v>23</v>
      </c>
    </row>
    <row customHeight="1" ht="35.699999999999996">
      <c r="F25" s="1237" t="s">
        <v>1087</v>
      </c>
      <c r="G25" s="1244" t="s">
        <v>1088</v>
      </c>
      <c r="H25" s="1243">
        <f>SUM(I25:J25)</f>
        <v>0</v>
      </c>
      <c r="I25" s="1242"/>
      <c r="J25" s="1232"/>
      <c r="K25" s="1243">
        <f>SUM(L25:S25)</f>
        <v>0</v>
      </c>
      <c r="L25" s="1242"/>
      <c r="M25" s="1242"/>
      <c r="N25" s="1242"/>
      <c r="O25" s="1242"/>
      <c r="P25" s="1242"/>
      <c r="Q25" s="1242"/>
      <c r="R25" s="1242"/>
      <c r="S25" s="2452"/>
      <c r="T25" s="1241"/>
      <c r="AF25" s="1162">
        <v>34</v>
      </c>
    </row>
    <row customHeight="1" ht="35.699999999999996">
      <c r="F26" s="1237" t="s">
        <v>1089</v>
      </c>
      <c r="G26" s="1244" t="s">
        <v>1090</v>
      </c>
      <c r="H26" s="1243">
        <f>SUM(I26:J26)</f>
        <v>0</v>
      </c>
      <c r="I26" s="1242"/>
      <c r="J26" s="1232"/>
      <c r="K26" s="1243">
        <f>SUM(L26:S26)</f>
        <v>0</v>
      </c>
      <c r="L26" s="1242"/>
      <c r="M26" s="1242"/>
      <c r="N26" s="1242"/>
      <c r="O26" s="1242"/>
      <c r="P26" s="1242"/>
      <c r="Q26" s="1242"/>
      <c r="R26" s="1242"/>
      <c r="S26" s="2452"/>
      <c r="T26" s="1241"/>
      <c r="AF26" s="1162">
        <v>34</v>
      </c>
    </row>
    <row customHeight="1" ht="11.549999999999999">
      <c r="F27" s="1237" t="s">
        <v>1091</v>
      </c>
      <c r="G27" s="1244" t="s">
        <v>1092</v>
      </c>
      <c r="H27" s="1243">
        <f>SUM(I27:J27)</f>
        <v>0</v>
      </c>
      <c r="I27" s="1242"/>
      <c r="J27" s="1232"/>
      <c r="K27" s="1243">
        <f>SUM(L27:S27)</f>
        <v>0</v>
      </c>
      <c r="L27" s="1242"/>
      <c r="M27" s="1242"/>
      <c r="N27" s="1242"/>
      <c r="O27" s="1242"/>
      <c r="P27" s="1242"/>
      <c r="Q27" s="1242"/>
      <c r="R27" s="1242"/>
      <c r="S27" s="2452"/>
      <c r="T27" s="1241"/>
      <c r="AF27" s="1162">
        <v>11</v>
      </c>
    </row>
    <row customHeight="1" ht="11.549999999999999">
      <c r="F28" s="1237">
        <v>2</v>
      </c>
      <c r="G28" s="697" t="s">
        <v>1093</v>
      </c>
      <c r="H28" s="1243">
        <f>SUM(I28:J28)</f>
        <v>0</v>
      </c>
      <c r="I28" s="1243">
        <f>SUM(I29:I31)</f>
        <v>0</v>
      </c>
      <c r="J28" s="1232"/>
      <c r="K28" s="1243">
        <f>SUM(L28:S28)</f>
        <v>0</v>
      </c>
      <c r="L28" s="1243">
        <f>SUM(L29:L31)</f>
        <v>0</v>
      </c>
      <c r="M28" s="1243">
        <f>SUM(M29:M31)</f>
        <v>0</v>
      </c>
      <c r="N28" s="1243">
        <f>SUM(N29:N31)</f>
        <v>0</v>
      </c>
      <c r="O28" s="1243">
        <f>SUM(O29:O31)</f>
        <v>0</v>
      </c>
      <c r="P28" s="1243">
        <f>SUM(P29:P31)</f>
        <v>0</v>
      </c>
      <c r="Q28" s="1243">
        <f>SUM(Q29:Q31)</f>
        <v>0</v>
      </c>
      <c r="R28" s="1243">
        <f>SUM(R29:R31)</f>
        <v>0</v>
      </c>
      <c r="S28" s="2452"/>
      <c r="T28" s="1241"/>
      <c r="AF28" s="1162">
        <v>11</v>
      </c>
    </row>
    <row customHeight="1" ht="11.549999999999999">
      <c r="F29" s="1237" t="s">
        <v>718</v>
      </c>
      <c r="G29" s="1244" t="s">
        <v>1094</v>
      </c>
      <c r="H29" s="1243">
        <f>SUM(I29:J29)</f>
        <v>0</v>
      </c>
      <c r="I29" s="1242"/>
      <c r="J29" s="1232"/>
      <c r="K29" s="1243">
        <f>SUM(L29:S29)</f>
        <v>0</v>
      </c>
      <c r="L29" s="1242"/>
      <c r="M29" s="1242"/>
      <c r="N29" s="1242"/>
      <c r="O29" s="1242"/>
      <c r="P29" s="1242"/>
      <c r="Q29" s="1242"/>
      <c r="R29" s="1242"/>
      <c r="S29" s="2452"/>
      <c r="T29" s="1241"/>
      <c r="AF29" s="1162">
        <v>11</v>
      </c>
    </row>
    <row customHeight="1" ht="11.549999999999999">
      <c r="F30" s="1237" t="s">
        <v>306</v>
      </c>
      <c r="G30" s="1244" t="s">
        <v>1095</v>
      </c>
      <c r="H30" s="1243">
        <f>SUM(I30:J30)</f>
        <v>0</v>
      </c>
      <c r="I30" s="1242"/>
      <c r="J30" s="1232"/>
      <c r="K30" s="1243">
        <f>SUM(L30:S30)</f>
        <v>0</v>
      </c>
      <c r="L30" s="1242"/>
      <c r="M30" s="1242"/>
      <c r="N30" s="1242"/>
      <c r="O30" s="1242"/>
      <c r="P30" s="1242"/>
      <c r="Q30" s="1242"/>
      <c r="R30" s="1242"/>
      <c r="S30" s="2452"/>
      <c r="T30" s="1241"/>
      <c r="AF30" s="1162">
        <v>11</v>
      </c>
    </row>
    <row customHeight="1" ht="11.549999999999999">
      <c r="F31" s="1237" t="s">
        <v>309</v>
      </c>
      <c r="G31" s="1244" t="s">
        <v>1096</v>
      </c>
      <c r="H31" s="1243">
        <f>SUM(I31:J31)</f>
        <v>0</v>
      </c>
      <c r="I31" s="1242"/>
      <c r="J31" s="1232"/>
      <c r="K31" s="1243">
        <f>SUM(L31:S31)</f>
        <v>0</v>
      </c>
      <c r="L31" s="1242"/>
      <c r="M31" s="1242"/>
      <c r="N31" s="1242"/>
      <c r="O31" s="1242"/>
      <c r="P31" s="1242"/>
      <c r="Q31" s="1242"/>
      <c r="R31" s="1242"/>
      <c r="S31" s="2452"/>
      <c r="T31" s="1241"/>
      <c r="AF31" s="1162">
        <v>11</v>
      </c>
    </row>
    <row customHeight="1" ht="11.549999999999999">
      <c r="F32" s="1237">
        <v>3</v>
      </c>
      <c r="G32" s="697" t="s">
        <v>1097</v>
      </c>
      <c r="H32" s="1243">
        <f>SUM(I32:J32)</f>
        <v>0</v>
      </c>
      <c r="I32" s="1243">
        <f>SUM(I33:I34)</f>
        <v>0</v>
      </c>
      <c r="J32" s="1232"/>
      <c r="K32" s="1243">
        <f>SUM(L32:S32)</f>
        <v>0</v>
      </c>
      <c r="L32" s="1243">
        <f>SUM(L33:L34)</f>
        <v>0</v>
      </c>
      <c r="M32" s="1243">
        <f>SUM(M33:M34)</f>
        <v>0</v>
      </c>
      <c r="N32" s="1243">
        <f>SUM(N33:N34)</f>
        <v>0</v>
      </c>
      <c r="O32" s="1243">
        <f>SUM(O33:O34)</f>
        <v>0</v>
      </c>
      <c r="P32" s="1243">
        <f>SUM(P33:P34)</f>
        <v>0</v>
      </c>
      <c r="Q32" s="1243">
        <f>SUM(Q33:Q34)</f>
        <v>0</v>
      </c>
      <c r="R32" s="1243">
        <f>SUM(R33:R34)</f>
        <v>0</v>
      </c>
      <c r="S32" s="2452"/>
      <c r="T32" s="1241"/>
      <c r="AF32" s="1162">
        <v>11</v>
      </c>
    </row>
    <row customHeight="1" ht="48.29999999999999">
      <c r="F33" s="1237" t="s">
        <v>323</v>
      </c>
      <c r="G33" s="1244" t="s">
        <v>1098</v>
      </c>
      <c r="H33" s="1243">
        <f>SUM(I33:J33)</f>
        <v>0</v>
      </c>
      <c r="I33" s="1242"/>
      <c r="J33" s="1232"/>
      <c r="K33" s="1243">
        <f>SUM(L33:S33)</f>
        <v>0</v>
      </c>
      <c r="L33" s="1242"/>
      <c r="M33" s="1242"/>
      <c r="N33" s="1242"/>
      <c r="O33" s="1242"/>
      <c r="P33" s="1242"/>
      <c r="Q33" s="1242"/>
      <c r="R33" s="1242"/>
      <c r="S33" s="2452"/>
      <c r="T33" s="1241"/>
      <c r="AF33" s="1162">
        <v>46</v>
      </c>
    </row>
    <row customHeight="1" ht="11.549999999999999">
      <c r="F34" s="1237" t="s">
        <v>331</v>
      </c>
      <c r="G34" s="1244" t="s">
        <v>1099</v>
      </c>
      <c r="H34" s="1243">
        <f>SUM(I34:J34)</f>
        <v>0</v>
      </c>
      <c r="I34" s="1242"/>
      <c r="J34" s="1232"/>
      <c r="K34" s="1243">
        <f>SUM(L34:S34)</f>
        <v>0</v>
      </c>
      <c r="L34" s="1242"/>
      <c r="M34" s="1242"/>
      <c r="N34" s="1242"/>
      <c r="O34" s="1242"/>
      <c r="P34" s="1242"/>
      <c r="Q34" s="1242"/>
      <c r="R34" s="1242"/>
      <c r="S34" s="2452"/>
      <c r="T34" s="1241"/>
      <c r="AF34" s="1162">
        <v>11</v>
      </c>
    </row>
    <row customHeight="1" ht="11.549999999999999">
      <c r="F35" s="1237">
        <v>4</v>
      </c>
      <c r="G35" s="697" t="s">
        <v>1100</v>
      </c>
      <c r="H35" s="1243">
        <f>SUM(I35:J35)</f>
        <v>0</v>
      </c>
      <c r="I35" s="1242"/>
      <c r="J35" s="1232"/>
      <c r="K35" s="1243">
        <f>SUM(L35:S35)</f>
        <v>0</v>
      </c>
      <c r="L35" s="1242"/>
      <c r="M35" s="1242"/>
      <c r="N35" s="1242"/>
      <c r="O35" s="1242"/>
      <c r="P35" s="1242"/>
      <c r="Q35" s="1242"/>
      <c r="R35" s="1242"/>
      <c r="S35" s="2452"/>
      <c r="T35" s="1241"/>
      <c r="AF35" s="1162">
        <v>11</v>
      </c>
    </row>
    <row customHeight="1" ht="11.549999999999999">
      <c r="F36" s="1237"/>
      <c r="G36" s="700" t="s">
        <v>1101</v>
      </c>
      <c r="H36" s="1243">
        <f>SUM(I36:J36)</f>
        <v>0</v>
      </c>
      <c r="I36" s="1243">
        <f>SUM(I15,I28,I32,I35)</f>
        <v>0</v>
      </c>
      <c r="J36" s="1232"/>
      <c r="K36" s="1243">
        <f>SUM(L36:S36)</f>
        <v>0</v>
      </c>
      <c r="L36" s="1243">
        <f>SUM(L15,L28,L32,L35)</f>
        <v>0</v>
      </c>
      <c r="M36" s="1243">
        <f>SUM(M15,M28,M32,M35)</f>
        <v>0</v>
      </c>
      <c r="N36" s="1243">
        <f>SUM(N15,N28,N32,N35)</f>
        <v>0</v>
      </c>
      <c r="O36" s="1243">
        <f>SUM(O15,O28,O32,O35)</f>
        <v>0</v>
      </c>
      <c r="P36" s="1243">
        <f>SUM(P15,P28,P32,P35)</f>
        <v>0</v>
      </c>
      <c r="Q36" s="1243">
        <f>SUM(Q15,Q28,Q32,Q35)</f>
        <v>0</v>
      </c>
      <c r="R36" s="1243">
        <f>SUM(R15,R28,R32,R35)</f>
        <v>0</v>
      </c>
      <c r="S36" s="2452"/>
      <c r="T36" s="1241"/>
      <c r="AF36" s="1162">
        <v>11</v>
      </c>
    </row>
    <row customHeight="1" ht="29.25">
      <c r="F37" s="1238" t="s">
        <v>1102</v>
      </c>
      <c r="G37" s="2448" t="s">
        <v>1103</v>
      </c>
      <c r="H37" s="2448"/>
      <c r="I37" s="2448"/>
      <c r="J37" s="2448"/>
      <c r="K37" s="2448"/>
      <c r="L37" s="2448"/>
      <c r="M37" s="2448"/>
      <c r="N37" s="2448"/>
      <c r="O37" s="2448"/>
      <c r="P37" s="2448"/>
      <c r="Q37" s="2448"/>
      <c r="R37" s="2448"/>
      <c r="S37" s="2448"/>
      <c r="T37" s="1241"/>
      <c r="AF37" s="1162">
        <v>28</v>
      </c>
    </row>
    <row customHeight="1" ht="24">
      <c r="F38" s="1237" t="s">
        <v>109</v>
      </c>
      <c r="G38" s="697" t="s">
        <v>1104</v>
      </c>
      <c r="H38" s="1243">
        <f>SUM(I38:J38)</f>
        <v>0</v>
      </c>
      <c r="I38" s="1243">
        <f>SUM(I39,I44,I47)</f>
        <v>0</v>
      </c>
      <c r="J38" s="1232"/>
      <c r="K38" s="1243">
        <f>SUM(L38:S38)</f>
        <v>0</v>
      </c>
      <c r="L38" s="1243">
        <f>SUM(L39,L44,L47)</f>
        <v>0</v>
      </c>
      <c r="M38" s="1243">
        <f>SUM(M39,M44,M47)</f>
        <v>0</v>
      </c>
      <c r="N38" s="1243">
        <f>SUM(N39,N44,N47)</f>
        <v>0</v>
      </c>
      <c r="O38" s="1243">
        <f>SUM(O39,O44,O47)</f>
        <v>0</v>
      </c>
      <c r="P38" s="1243">
        <f>SUM(P39,P44,P47)</f>
        <v>0</v>
      </c>
      <c r="Q38" s="1243">
        <f>SUM(Q39,Q44,Q47)</f>
        <v>0</v>
      </c>
      <c r="R38" s="1243">
        <f>SUM(R39,R44,R47)</f>
        <v>0</v>
      </c>
      <c r="S38" s="2452"/>
      <c r="T38" s="1241"/>
      <c r="AF38" s="1162">
        <v>23</v>
      </c>
    </row>
    <row customHeight="1" ht="11.549999999999999">
      <c r="F39" s="1237" t="s">
        <v>1069</v>
      </c>
      <c r="G39" s="1244" t="s">
        <v>1068</v>
      </c>
      <c r="H39" s="1243">
        <f>SUM(I39:J39)</f>
        <v>0</v>
      </c>
      <c r="I39" s="1243">
        <f>SUM(I40:I43)</f>
        <v>0</v>
      </c>
      <c r="J39" s="1232"/>
      <c r="K39" s="1243">
        <f>SUM(L39:S39)</f>
        <v>0</v>
      </c>
      <c r="L39" s="1243">
        <f>SUM(L40:L43)</f>
        <v>0</v>
      </c>
      <c r="M39" s="1243">
        <f>SUM(M40:M43)</f>
        <v>0</v>
      </c>
      <c r="N39" s="1243">
        <f>SUM(N40:N43)</f>
        <v>0</v>
      </c>
      <c r="O39" s="1243">
        <f>SUM(O40:O43)</f>
        <v>0</v>
      </c>
      <c r="P39" s="1243">
        <f>SUM(P40:P43)</f>
        <v>0</v>
      </c>
      <c r="Q39" s="1243">
        <f>SUM(Q40:Q43)</f>
        <v>0</v>
      </c>
      <c r="R39" s="1243">
        <f>SUM(R40:R43)</f>
        <v>0</v>
      </c>
      <c r="S39" s="2452"/>
      <c r="T39" s="1241"/>
      <c r="AF39" s="1162">
        <v>11</v>
      </c>
    </row>
    <row customHeight="1" ht="24">
      <c r="F40" s="1237" t="s">
        <v>1105</v>
      </c>
      <c r="G40" s="1245" t="s">
        <v>1106</v>
      </c>
      <c r="H40" s="1243">
        <f>SUM(I40:J40)</f>
        <v>0</v>
      </c>
      <c r="I40" s="1242"/>
      <c r="J40" s="1232"/>
      <c r="K40" s="1243">
        <f>SUM(L40:S40)</f>
        <v>0</v>
      </c>
      <c r="L40" s="1242"/>
      <c r="M40" s="1242"/>
      <c r="N40" s="1242"/>
      <c r="O40" s="1242"/>
      <c r="P40" s="1242"/>
      <c r="Q40" s="1242"/>
      <c r="R40" s="1242"/>
      <c r="S40" s="2452"/>
      <c r="T40" s="1241"/>
      <c r="AF40" s="1162">
        <v>23</v>
      </c>
    </row>
    <row customHeight="1" ht="11.549999999999999">
      <c r="F41" s="1237" t="s">
        <v>1107</v>
      </c>
      <c r="G41" s="1245" t="s">
        <v>1108</v>
      </c>
      <c r="H41" s="1243">
        <f>SUM(I41:J41)</f>
        <v>0</v>
      </c>
      <c r="I41" s="1242"/>
      <c r="J41" s="1232"/>
      <c r="K41" s="1243">
        <f>SUM(L41:S41)</f>
        <v>0</v>
      </c>
      <c r="L41" s="1242"/>
      <c r="M41" s="1242"/>
      <c r="N41" s="1242"/>
      <c r="O41" s="1242"/>
      <c r="P41" s="1242"/>
      <c r="Q41" s="1242"/>
      <c r="R41" s="1242"/>
      <c r="S41" s="2452"/>
      <c r="T41" s="1241"/>
      <c r="AF41" s="1162">
        <v>11</v>
      </c>
    </row>
    <row customHeight="1" ht="11.549999999999999">
      <c r="F42" s="1237" t="s">
        <v>1109</v>
      </c>
      <c r="G42" s="1245" t="s">
        <v>1110</v>
      </c>
      <c r="H42" s="1243">
        <f>SUM(I42:J42)</f>
        <v>0</v>
      </c>
      <c r="I42" s="1242"/>
      <c r="J42" s="1232"/>
      <c r="K42" s="1243">
        <f>SUM(L42:S42)</f>
        <v>0</v>
      </c>
      <c r="L42" s="1242"/>
      <c r="M42" s="1242"/>
      <c r="N42" s="1242"/>
      <c r="O42" s="1242"/>
      <c r="P42" s="1242"/>
      <c r="Q42" s="1242"/>
      <c r="R42" s="1242"/>
      <c r="S42" s="2452"/>
      <c r="T42" s="1241"/>
      <c r="AF42" s="1162">
        <v>11</v>
      </c>
    </row>
    <row customHeight="1" ht="35.699999999999996">
      <c r="F43" s="1237" t="s">
        <v>1111</v>
      </c>
      <c r="G43" s="1245" t="s">
        <v>1112</v>
      </c>
      <c r="H43" s="1243">
        <f>SUM(I43:J43)</f>
        <v>0</v>
      </c>
      <c r="I43" s="1242"/>
      <c r="J43" s="1232"/>
      <c r="K43" s="1243">
        <f>SUM(L43:S43)</f>
        <v>0</v>
      </c>
      <c r="L43" s="1242"/>
      <c r="M43" s="1242"/>
      <c r="N43" s="1242"/>
      <c r="O43" s="1242"/>
      <c r="P43" s="1242"/>
      <c r="Q43" s="1242"/>
      <c r="R43" s="1242"/>
      <c r="S43" s="2452"/>
      <c r="T43" s="1241"/>
      <c r="AF43" s="1162">
        <v>34</v>
      </c>
    </row>
    <row customHeight="1" ht="11.549999999999999">
      <c r="F44" s="1237" t="s">
        <v>1071</v>
      </c>
      <c r="G44" s="1244" t="s">
        <v>1097</v>
      </c>
      <c r="H44" s="1243">
        <f>SUM(I44:J44)</f>
        <v>0</v>
      </c>
      <c r="I44" s="1243">
        <f>SUM(I45:I46)</f>
        <v>0</v>
      </c>
      <c r="J44" s="1232"/>
      <c r="K44" s="1243">
        <f>SUM(L44:S44)</f>
        <v>0</v>
      </c>
      <c r="L44" s="1243">
        <f>SUM(L45:L46)</f>
        <v>0</v>
      </c>
      <c r="M44" s="1243">
        <f>SUM(M45:M46)</f>
        <v>0</v>
      </c>
      <c r="N44" s="1243">
        <f>SUM(N45:N46)</f>
        <v>0</v>
      </c>
      <c r="O44" s="1243">
        <f>SUM(O45:O46)</f>
        <v>0</v>
      </c>
      <c r="P44" s="1243">
        <f>SUM(P45:P46)</f>
        <v>0</v>
      </c>
      <c r="Q44" s="1243">
        <f>SUM(Q45:Q46)</f>
        <v>0</v>
      </c>
      <c r="R44" s="1243">
        <f>SUM(R45:R46)</f>
        <v>0</v>
      </c>
      <c r="S44" s="2452"/>
      <c r="T44" s="1241"/>
      <c r="AF44" s="1162">
        <v>11</v>
      </c>
    </row>
    <row customHeight="1" ht="48.29999999999999">
      <c r="F45" s="1237" t="s">
        <v>1113</v>
      </c>
      <c r="G45" s="1245" t="s">
        <v>1098</v>
      </c>
      <c r="H45" s="1243">
        <f>SUM(I45:J45)</f>
        <v>0</v>
      </c>
      <c r="I45" s="1242"/>
      <c r="J45" s="1232"/>
      <c r="K45" s="1243">
        <f>SUM(L45:S45)</f>
        <v>0</v>
      </c>
      <c r="L45" s="1242"/>
      <c r="M45" s="1242"/>
      <c r="N45" s="1242"/>
      <c r="O45" s="1242"/>
      <c r="P45" s="1242"/>
      <c r="Q45" s="1242"/>
      <c r="R45" s="1242"/>
      <c r="S45" s="2452"/>
      <c r="T45" s="1241"/>
      <c r="AF45" s="1162">
        <v>46</v>
      </c>
    </row>
    <row customHeight="1" ht="11.549999999999999">
      <c r="F46" s="1237" t="s">
        <v>1114</v>
      </c>
      <c r="G46" s="1245" t="s">
        <v>1099</v>
      </c>
      <c r="H46" s="1243">
        <f>SUM(I46:J46)</f>
        <v>0</v>
      </c>
      <c r="I46" s="1242"/>
      <c r="J46" s="1232"/>
      <c r="K46" s="1243">
        <f>SUM(L46:S46)</f>
        <v>0</v>
      </c>
      <c r="L46" s="1242"/>
      <c r="M46" s="1242"/>
      <c r="N46" s="1242"/>
      <c r="O46" s="1242"/>
      <c r="P46" s="1242"/>
      <c r="Q46" s="1242"/>
      <c r="R46" s="1242"/>
      <c r="S46" s="2452"/>
      <c r="T46" s="1241"/>
      <c r="AF46" s="1162">
        <v>11</v>
      </c>
    </row>
    <row customHeight="1" ht="11.549999999999999">
      <c r="F47" s="1237" t="s">
        <v>1073</v>
      </c>
      <c r="G47" s="1244" t="s">
        <v>1115</v>
      </c>
      <c r="H47" s="1243">
        <f>SUM(I47:J47)</f>
        <v>0</v>
      </c>
      <c r="I47" s="1242"/>
      <c r="J47" s="1232"/>
      <c r="K47" s="1243">
        <f>SUM(L47:S47)</f>
        <v>0</v>
      </c>
      <c r="L47" s="1242"/>
      <c r="M47" s="1242"/>
      <c r="N47" s="1242"/>
      <c r="O47" s="1242"/>
      <c r="P47" s="1242"/>
      <c r="Q47" s="1242"/>
      <c r="R47" s="1242"/>
      <c r="S47" s="2452"/>
      <c r="T47" s="1241"/>
      <c r="AF47" s="1162">
        <v>11</v>
      </c>
    </row>
    <row customHeight="1" ht="24">
      <c r="F48" s="1237" t="s">
        <v>110</v>
      </c>
      <c r="G48" s="697" t="s">
        <v>1116</v>
      </c>
      <c r="H48" s="1243">
        <f>SUM(I48:J48)</f>
        <v>0</v>
      </c>
      <c r="I48" s="1243">
        <f>SUM(I49,I54,I57)</f>
        <v>0</v>
      </c>
      <c r="J48" s="1232"/>
      <c r="K48" s="1243">
        <f>SUM(L48:S48)</f>
        <v>0</v>
      </c>
      <c r="L48" s="1243">
        <f>SUM(L49,L54,L57)</f>
        <v>0</v>
      </c>
      <c r="M48" s="1243">
        <f>SUM(M49,M54,M57)</f>
        <v>0</v>
      </c>
      <c r="N48" s="1243">
        <f>SUM(N49,N54,N57)</f>
        <v>0</v>
      </c>
      <c r="O48" s="1243">
        <f>SUM(O49,O54,O57)</f>
        <v>0</v>
      </c>
      <c r="P48" s="1243">
        <f>SUM(P49,P54,P57)</f>
        <v>0</v>
      </c>
      <c r="Q48" s="1243">
        <f>SUM(Q49,Q54,Q57)</f>
        <v>0</v>
      </c>
      <c r="R48" s="1243">
        <f>SUM(R49,R54,R57)</f>
        <v>0</v>
      </c>
      <c r="S48" s="2452"/>
      <c r="T48" s="1241"/>
      <c r="AF48" s="1162">
        <v>23</v>
      </c>
    </row>
    <row customHeight="1" ht="11.549999999999999">
      <c r="F49" s="1237" t="s">
        <v>718</v>
      </c>
      <c r="G49" s="1244" t="s">
        <v>1068</v>
      </c>
      <c r="H49" s="1243">
        <f>SUM(I49:J49)</f>
        <v>0</v>
      </c>
      <c r="I49" s="1243">
        <f>SUM(I50:I53)</f>
        <v>0</v>
      </c>
      <c r="J49" s="1232"/>
      <c r="K49" s="1243">
        <f>SUM(L49:S49)</f>
        <v>0</v>
      </c>
      <c r="L49" s="1243">
        <f>SUM(L50:L53)</f>
        <v>0</v>
      </c>
      <c r="M49" s="1243">
        <f>SUM(M50:M53)</f>
        <v>0</v>
      </c>
      <c r="N49" s="1243">
        <f>SUM(N50:N53)</f>
        <v>0</v>
      </c>
      <c r="O49" s="1243">
        <f>SUM(O50:O53)</f>
        <v>0</v>
      </c>
      <c r="P49" s="1243">
        <f>SUM(P50:P53)</f>
        <v>0</v>
      </c>
      <c r="Q49" s="1243">
        <f>SUM(Q50:Q53)</f>
        <v>0</v>
      </c>
      <c r="R49" s="1243">
        <f>SUM(R50:R53)</f>
        <v>0</v>
      </c>
      <c r="S49" s="2452"/>
      <c r="T49" s="1241"/>
      <c r="AF49" s="1162">
        <v>11</v>
      </c>
    </row>
    <row customHeight="1" ht="24">
      <c r="F50" s="1237" t="s">
        <v>721</v>
      </c>
      <c r="G50" s="1245" t="s">
        <v>1106</v>
      </c>
      <c r="H50" s="1243">
        <f>SUM(I50:J50)</f>
        <v>0</v>
      </c>
      <c r="I50" s="1242"/>
      <c r="J50" s="1232"/>
      <c r="K50" s="1243">
        <f>SUM(L50:S50)</f>
        <v>0</v>
      </c>
      <c r="L50" s="1242"/>
      <c r="M50" s="1242"/>
      <c r="N50" s="1242"/>
      <c r="O50" s="1242"/>
      <c r="P50" s="1242"/>
      <c r="Q50" s="1242"/>
      <c r="R50" s="1242"/>
      <c r="S50" s="2452"/>
      <c r="T50" s="1241"/>
      <c r="AF50" s="1162">
        <v>23</v>
      </c>
    </row>
    <row customHeight="1" ht="11.549999999999999">
      <c r="F51" s="1237" t="s">
        <v>724</v>
      </c>
      <c r="G51" s="1245" t="s">
        <v>1108</v>
      </c>
      <c r="H51" s="1243">
        <f>SUM(I51:J51)</f>
        <v>0</v>
      </c>
      <c r="I51" s="1242"/>
      <c r="J51" s="1232"/>
      <c r="K51" s="1243">
        <f>SUM(L51:S51)</f>
        <v>0</v>
      </c>
      <c r="L51" s="1242"/>
      <c r="M51" s="1242"/>
      <c r="N51" s="1242"/>
      <c r="O51" s="1242"/>
      <c r="P51" s="1242"/>
      <c r="Q51" s="1242"/>
      <c r="R51" s="1242"/>
      <c r="S51" s="2452"/>
      <c r="T51" s="1241"/>
      <c r="AF51" s="1162">
        <v>11</v>
      </c>
    </row>
    <row customHeight="1" ht="11.549999999999999">
      <c r="F52" s="1237" t="s">
        <v>1117</v>
      </c>
      <c r="G52" s="1245" t="s">
        <v>1110</v>
      </c>
      <c r="H52" s="1243">
        <f>SUM(I52:J52)</f>
        <v>0</v>
      </c>
      <c r="I52" s="1242"/>
      <c r="J52" s="1232"/>
      <c r="K52" s="1243">
        <f>SUM(L52:S52)</f>
        <v>0</v>
      </c>
      <c r="L52" s="1242"/>
      <c r="M52" s="1242"/>
      <c r="N52" s="1242"/>
      <c r="O52" s="1242"/>
      <c r="P52" s="1242"/>
      <c r="Q52" s="1242"/>
      <c r="R52" s="1242"/>
      <c r="S52" s="2452"/>
      <c r="T52" s="1241"/>
      <c r="AF52" s="1162">
        <v>11</v>
      </c>
    </row>
    <row customHeight="1" ht="35.699999999999996">
      <c r="F53" s="1237" t="s">
        <v>1118</v>
      </c>
      <c r="G53" s="1245" t="s">
        <v>1112</v>
      </c>
      <c r="H53" s="1243">
        <f>SUM(I53:J53)</f>
        <v>0</v>
      </c>
      <c r="I53" s="1242"/>
      <c r="J53" s="1232"/>
      <c r="K53" s="1243">
        <f>SUM(L53:S53)</f>
        <v>0</v>
      </c>
      <c r="L53" s="1242"/>
      <c r="M53" s="1242"/>
      <c r="N53" s="1242"/>
      <c r="O53" s="1242"/>
      <c r="P53" s="1242"/>
      <c r="Q53" s="1242"/>
      <c r="R53" s="1242"/>
      <c r="S53" s="2452"/>
      <c r="T53" s="1241"/>
      <c r="AF53" s="1162">
        <v>34</v>
      </c>
    </row>
    <row customHeight="1" ht="11.549999999999999">
      <c r="F54" s="1237" t="s">
        <v>306</v>
      </c>
      <c r="G54" s="1244" t="s">
        <v>1097</v>
      </c>
      <c r="H54" s="1243">
        <f>SUM(I54:J54)</f>
        <v>0</v>
      </c>
      <c r="I54" s="1243">
        <f>SUM(I55:I56)</f>
        <v>0</v>
      </c>
      <c r="J54" s="1232"/>
      <c r="K54" s="1243">
        <f>SUM(L54:S54)</f>
        <v>0</v>
      </c>
      <c r="L54" s="1243">
        <f>SUM(L55:L56)</f>
        <v>0</v>
      </c>
      <c r="M54" s="1243">
        <f>SUM(M55:M56)</f>
        <v>0</v>
      </c>
      <c r="N54" s="1243">
        <f>SUM(N55:N56)</f>
        <v>0</v>
      </c>
      <c r="O54" s="1243">
        <f>SUM(O55:O56)</f>
        <v>0</v>
      </c>
      <c r="P54" s="1243">
        <f>SUM(P55:P56)</f>
        <v>0</v>
      </c>
      <c r="Q54" s="1243">
        <f>SUM(Q55:Q56)</f>
        <v>0</v>
      </c>
      <c r="R54" s="1243">
        <f>SUM(R55:R56)</f>
        <v>0</v>
      </c>
      <c r="S54" s="2452"/>
      <c r="T54" s="1241"/>
      <c r="AF54" s="1162">
        <v>11</v>
      </c>
    </row>
    <row customHeight="1" ht="48.29999999999999">
      <c r="F55" s="1237" t="s">
        <v>728</v>
      </c>
      <c r="G55" s="1245" t="s">
        <v>1098</v>
      </c>
      <c r="H55" s="1243">
        <f>SUM(I55:J55)</f>
        <v>0</v>
      </c>
      <c r="I55" s="1242"/>
      <c r="J55" s="1232"/>
      <c r="K55" s="1243">
        <f>SUM(L55:S55)</f>
        <v>0</v>
      </c>
      <c r="L55" s="1242"/>
      <c r="M55" s="1242"/>
      <c r="N55" s="1242"/>
      <c r="O55" s="1242"/>
      <c r="P55" s="1242"/>
      <c r="Q55" s="1242"/>
      <c r="R55" s="1242"/>
      <c r="S55" s="2452"/>
      <c r="T55" s="1241"/>
      <c r="AF55" s="1162">
        <v>46</v>
      </c>
    </row>
    <row customHeight="1" ht="11.549999999999999">
      <c r="F56" s="1237" t="s">
        <v>730</v>
      </c>
      <c r="G56" s="1245" t="s">
        <v>1099</v>
      </c>
      <c r="H56" s="1243">
        <f>SUM(I56:J56)</f>
        <v>0</v>
      </c>
      <c r="I56" s="1242"/>
      <c r="J56" s="1232"/>
      <c r="K56" s="1243">
        <f>SUM(L56:S56)</f>
        <v>0</v>
      </c>
      <c r="L56" s="1242"/>
      <c r="M56" s="1242"/>
      <c r="N56" s="1242"/>
      <c r="O56" s="1242"/>
      <c r="P56" s="1242"/>
      <c r="Q56" s="1242"/>
      <c r="R56" s="1242"/>
      <c r="S56" s="2452"/>
      <c r="T56" s="1241"/>
      <c r="AF56" s="1162">
        <v>11</v>
      </c>
    </row>
    <row customHeight="1" ht="11.549999999999999">
      <c r="F57" s="1237" t="s">
        <v>309</v>
      </c>
      <c r="G57" s="1244" t="s">
        <v>1115</v>
      </c>
      <c r="H57" s="1243">
        <f>SUM(I57:J57)</f>
        <v>0</v>
      </c>
      <c r="I57" s="1242"/>
      <c r="J57" s="1232"/>
      <c r="K57" s="1243">
        <f>SUM(L57:S57)</f>
        <v>0</v>
      </c>
      <c r="L57" s="1242"/>
      <c r="M57" s="1242"/>
      <c r="N57" s="1242"/>
      <c r="O57" s="1242"/>
      <c r="P57" s="1242"/>
      <c r="Q57" s="1242"/>
      <c r="R57" s="1242"/>
      <c r="S57" s="2452"/>
      <c r="T57" s="1241"/>
      <c r="AF57" s="1162">
        <v>11</v>
      </c>
    </row>
    <row customHeight="1" ht="11.549999999999999">
      <c r="F58" s="1237"/>
      <c r="G58" s="1246" t="s">
        <v>1101</v>
      </c>
      <c r="H58" s="1243">
        <f>SUM(I58:J58)</f>
        <v>0</v>
      </c>
      <c r="I58" s="1243">
        <f>SUM(I38,I48)</f>
        <v>0</v>
      </c>
      <c r="J58" s="1232"/>
      <c r="K58" s="1243">
        <f>SUM(L58:S58)</f>
        <v>0</v>
      </c>
      <c r="L58" s="1243">
        <f>SUM(L38,L48)</f>
        <v>0</v>
      </c>
      <c r="M58" s="1243">
        <f>SUM(M38,M48)</f>
        <v>0</v>
      </c>
      <c r="N58" s="1243">
        <f>SUM(N38,N48)</f>
        <v>0</v>
      </c>
      <c r="O58" s="1243">
        <f>SUM(O38,O48)</f>
        <v>0</v>
      </c>
      <c r="P58" s="1243">
        <f>SUM(P38,P48)</f>
        <v>0</v>
      </c>
      <c r="Q58" s="1243">
        <f>SUM(Q38,Q48)</f>
        <v>0</v>
      </c>
      <c r="R58" s="1243">
        <f>SUM(R38,R48)</f>
        <v>0</v>
      </c>
      <c r="S58" s="2452"/>
      <c r="T58" s="1241"/>
      <c r="AF58" s="1162">
        <v>11</v>
      </c>
    </row>
    <row customHeight="1" ht="10.5" hidden="1">
      <c r="A59" s="1173" t="s">
        <v>82</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642">
        <v>0</v>
      </c>
      <c r="R59" s="1642">
        <v>0</v>
      </c>
      <c r="S59" s="1642">
        <v>0</v>
      </c>
      <c r="T59" s="1162">
        <v>1</v>
      </c>
      <c r="U59" s="1162">
        <v>8</v>
      </c>
      <c r="V59" s="1162">
        <v>8</v>
      </c>
      <c r="W59" s="1162">
        <v>8</v>
      </c>
      <c r="X59" s="1162">
        <v>8</v>
      </c>
      <c r="Y59" s="1162">
        <v>8</v>
      </c>
      <c r="Z59" s="1162">
        <v>8</v>
      </c>
      <c r="AA59" s="1162">
        <v>8</v>
      </c>
      <c r="AB59" s="1162">
        <v>8</v>
      </c>
      <c r="AC59" s="1162">
        <v>8</v>
      </c>
      <c r="AD59" s="1162">
        <v>8</v>
      </c>
      <c r="AE59" s="1162">
        <v>8</v>
      </c>
      <c r="AF59" s="116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S10"/>
    <mergeCell ref="K11:S11"/>
  </mergeCells>
  <dataValidations count="1">
    <dataValidation type="decimal" allowBlank="1" showErrorMessage="1" errorTitle="Ошибка" error="Допускается ввод только неотрицательных чисел!" sqref="I29:I31 I33:I35 I40:I43 I45:I47 I50:I53 I55:I57 I16:I27 L16:R16 L17:R17 L18:R18 L19:R19 L20:R20 L21:R21 L22:R22 L23:R23 L24:R24 L25:R25 L26:R26 L27:R27 L29:R29 L30:R30 L31:R31 L33:R33 L34:R34 L35:R35 L40:R40 L41:R41 L42:R42 L43:R43 L45:R45 L46:R46 L47:R47 L50:R50 L51:R51 L52:R52 L53:R53 L55:R55 L56:R56 L57:R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2F36D-6477-380C-071F-E58999CE1672}" mc:Ignorable="x14ac xr xr2 xr3">
  <sheetPr>
    <tabColor theme="9" tint="-0.25"/>
  </sheetPr>
  <dimension ref="A1:GC28"/>
  <sheetViews>
    <sheetView showGridLines="0" zoomScale="90" workbookViewId="0">
      <pane xSplit="14" ySplit="17" topLeftCell="DE21" activePane="bottomRight" state="frozen"/>
      <selection pane="bottomLeft" activeCell="A18" sqref="A18"/>
      <selection pane="topRight" activeCell="O1" sqref="O1"/>
      <selection pane="bottomRight" activeCell="DF23" sqref="DF23"/>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customWidth="1"/>
    <col min="115" max="128" style="1070" width="0.7109375" customWidth="1"/>
    <col min="129"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877">
        <v>26</v>
      </c>
    </row>
    <row s="2164" customFormat="1" customHeight="1" ht="18.75">
      <c r="B6" s="950"/>
      <c r="E6" s="952"/>
      <c r="F6" s="2240" t="str">
        <f>IF(org=0,"Не определено",org)</f>
        <v>Общество с ограниченной ответственностью "Сигнал", г. Серов</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6" t="s">
        <v>1119</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71" t="s">
        <v>1120</v>
      </c>
      <c r="DZ8" s="2472"/>
      <c r="EA8" s="2472"/>
      <c r="EB8" s="2472"/>
      <c r="EC8" s="2472"/>
      <c r="ED8" s="2472"/>
      <c r="EE8" s="2472"/>
      <c r="EF8" s="2472"/>
      <c r="EG8" s="2472"/>
      <c r="EH8" s="2472"/>
      <c r="EI8" s="2472"/>
      <c r="EJ8" s="2472"/>
      <c r="EK8" s="2472"/>
      <c r="EL8" s="2472"/>
      <c r="EM8" s="2472"/>
      <c r="EN8" s="2472"/>
      <c r="EO8" s="2472"/>
      <c r="EP8" s="2472"/>
      <c r="EQ8" s="2472"/>
      <c r="ER8" s="2472"/>
      <c r="ES8" s="2472"/>
      <c r="ET8" s="2472"/>
      <c r="EU8" s="2472"/>
      <c r="EV8" s="2472"/>
      <c r="EW8" s="2472"/>
      <c r="EX8" s="2472"/>
      <c r="EY8" s="2472"/>
      <c r="EZ8" s="2472"/>
      <c r="FA8" s="2472"/>
      <c r="FB8" s="2472"/>
      <c r="FC8" s="2472"/>
      <c r="FD8" s="2472"/>
      <c r="FE8" s="2472"/>
      <c r="FF8" s="2472"/>
      <c r="FG8" s="2472"/>
      <c r="FH8" s="2472"/>
      <c r="FI8" s="2472"/>
      <c r="FJ8" s="2472"/>
      <c r="FK8" s="2472"/>
      <c r="FL8" s="2472"/>
      <c r="FM8" s="2472"/>
      <c r="FN8" s="2472"/>
      <c r="FO8" s="2472"/>
      <c r="FP8" s="2472"/>
      <c r="FQ8" s="2472"/>
      <c r="FR8" s="2472"/>
      <c r="FS8" s="2472"/>
      <c r="FT8" s="2472"/>
      <c r="FU8" s="2472"/>
      <c r="FV8" s="2472"/>
      <c r="FW8" s="2473"/>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74"/>
      <c r="FX9" s="1063"/>
      <c r="GC9" s="940">
        <v>0</v>
      </c>
    </row>
    <row s="940" customFormat="1" customHeight="1" ht="11.549999999999999">
      <c r="B10" s="941"/>
      <c r="F10" s="2455" t="s">
        <v>299</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4"/>
      <c r="FX10" s="1063"/>
      <c r="GC10" s="940">
        <v>11</v>
      </c>
    </row>
    <row customHeight="1" ht="12.75">
      <c r="E11" s="944"/>
      <c r="F11" s="2231" t="s">
        <v>88</v>
      </c>
      <c r="G11" s="2231" t="s">
        <v>1121</v>
      </c>
      <c r="H11" s="2463" t="s">
        <v>1122</v>
      </c>
      <c r="I11" s="2463" t="s">
        <v>1123</v>
      </c>
      <c r="J11" s="2464"/>
      <c r="K11" s="2464"/>
      <c r="L11" s="2464"/>
      <c r="M11" s="2464"/>
      <c r="N11" s="2464"/>
      <c r="O11" s="2235" t="s">
        <v>1124</v>
      </c>
      <c r="P11" s="2235"/>
      <c r="Q11" s="2235"/>
      <c r="R11" s="2235"/>
      <c r="S11" s="2235"/>
      <c r="T11" s="2235"/>
      <c r="U11" s="2235"/>
      <c r="V11" s="2235"/>
      <c r="W11" s="2235"/>
      <c r="X11" s="2235"/>
      <c r="Y11" s="2235"/>
      <c r="Z11" s="2235"/>
      <c r="AA11" s="2235"/>
      <c r="AB11" s="2235"/>
      <c r="AC11" s="2460"/>
      <c r="AD11" s="2460"/>
      <c r="AE11" s="2460"/>
      <c r="AF11" s="2460"/>
      <c r="AG11" s="2460"/>
      <c r="AH11" s="2460"/>
      <c r="AI11" s="2460"/>
      <c r="AJ11" s="2460"/>
      <c r="AK11" s="2460"/>
      <c r="AL11" s="2460"/>
      <c r="AM11" s="2460"/>
      <c r="AN11" s="2460"/>
      <c r="AO11" s="2460"/>
      <c r="AP11" s="2460"/>
      <c r="AQ11" s="2460"/>
      <c r="AR11" s="2460"/>
      <c r="AS11" s="2460"/>
      <c r="AT11" s="2460"/>
      <c r="AU11" s="2460"/>
      <c r="AV11" s="2460"/>
      <c r="AW11" s="2460"/>
      <c r="AX11" s="2460"/>
      <c r="AY11" s="2460"/>
      <c r="AZ11" s="2460"/>
      <c r="BA11" s="2460"/>
      <c r="BB11" s="2460"/>
      <c r="BC11" s="2460"/>
      <c r="BD11" s="2460"/>
      <c r="BE11" s="2460"/>
      <c r="BF11" s="2460"/>
      <c r="BG11" s="2460"/>
      <c r="BH11" s="2460"/>
      <c r="BI11" s="2460"/>
      <c r="BJ11" s="2460"/>
      <c r="BK11" s="2460"/>
      <c r="BL11" s="2460"/>
      <c r="BM11" s="2460"/>
      <c r="BN11" s="2460"/>
      <c r="BO11" s="2460"/>
      <c r="BP11" s="2460"/>
      <c r="BQ11" s="2460"/>
      <c r="BR11" s="2460"/>
      <c r="BS11" s="2479"/>
      <c r="BT11" s="2412" t="s">
        <v>1124</v>
      </c>
      <c r="BU11" s="2413"/>
      <c r="BV11" s="2413"/>
      <c r="BW11" s="2413"/>
      <c r="BX11" s="2413"/>
      <c r="BY11" s="2413"/>
      <c r="BZ11" s="2413"/>
      <c r="CA11" s="2413"/>
      <c r="CB11" s="2413"/>
      <c r="CC11" s="2413"/>
      <c r="CD11" s="2413"/>
      <c r="CE11" s="2413"/>
      <c r="CF11" s="2413"/>
      <c r="CG11" s="2413"/>
      <c r="CH11" s="2413"/>
      <c r="CI11" s="2413"/>
      <c r="CJ11" s="2413"/>
      <c r="CK11" s="2459"/>
      <c r="CL11" s="2462"/>
      <c r="CM11" s="2460"/>
      <c r="CN11" s="2460"/>
      <c r="CO11" s="2460"/>
      <c r="CP11" s="2460"/>
      <c r="CQ11" s="2460"/>
      <c r="CR11" s="2460"/>
      <c r="CS11" s="2460"/>
      <c r="CT11" s="2460"/>
      <c r="CU11" s="2460"/>
      <c r="CV11" s="2460"/>
      <c r="CW11" s="2460"/>
      <c r="CX11" s="2479"/>
      <c r="CY11" s="2412" t="s">
        <v>1124</v>
      </c>
      <c r="CZ11" s="2413"/>
      <c r="DA11" s="2413"/>
      <c r="DB11" s="2413"/>
      <c r="DC11" s="2413"/>
      <c r="DD11" s="2413"/>
      <c r="DE11" s="2413"/>
      <c r="DF11" s="2413"/>
      <c r="DG11" s="2413"/>
      <c r="DH11" s="2413"/>
      <c r="DI11" s="2413"/>
      <c r="DJ11" s="2459"/>
      <c r="DK11" s="2462"/>
      <c r="DL11" s="2460"/>
      <c r="DM11" s="2460"/>
      <c r="DN11" s="2460"/>
      <c r="DO11" s="2460"/>
      <c r="DP11" s="2460"/>
      <c r="DQ11" s="2460"/>
      <c r="DR11" s="2460"/>
      <c r="DS11" s="2460"/>
      <c r="DT11" s="2460"/>
      <c r="DU11" s="2460"/>
      <c r="DV11" s="2460"/>
      <c r="DW11" s="2460"/>
      <c r="DX11" s="2460"/>
      <c r="DY11" s="2460"/>
      <c r="DZ11" s="2460"/>
      <c r="EA11" s="2460"/>
      <c r="EB11" s="2460"/>
      <c r="EC11" s="2460"/>
      <c r="ED11" s="2460"/>
      <c r="EE11" s="2460"/>
      <c r="EF11" s="2460"/>
      <c r="EG11" s="2460"/>
      <c r="EH11" s="2460"/>
      <c r="EI11" s="2460"/>
      <c r="EJ11" s="2460"/>
      <c r="EK11" s="2460"/>
      <c r="EL11" s="2460"/>
      <c r="EM11" s="2460"/>
      <c r="EN11" s="2460"/>
      <c r="EO11" s="2460"/>
      <c r="EP11" s="2460"/>
      <c r="EQ11" s="2460"/>
      <c r="ER11" s="2460"/>
      <c r="ES11" s="2460"/>
      <c r="ET11" s="2460"/>
      <c r="EU11" s="2460"/>
      <c r="EV11" s="2460"/>
      <c r="EW11" s="2460"/>
      <c r="EX11" s="2460"/>
      <c r="EY11" s="2460"/>
      <c r="EZ11" s="2460"/>
      <c r="FA11" s="2460"/>
      <c r="FB11" s="2460"/>
      <c r="FC11" s="2460"/>
      <c r="FD11" s="2460"/>
      <c r="FE11" s="2460"/>
      <c r="FF11" s="2460"/>
      <c r="FG11" s="2460"/>
      <c r="FH11" s="2460"/>
      <c r="FI11" s="2460"/>
      <c r="FJ11" s="2460"/>
      <c r="FK11" s="2460"/>
      <c r="FL11" s="2460"/>
      <c r="FM11" s="2460"/>
      <c r="FN11" s="2460"/>
      <c r="FO11" s="2460"/>
      <c r="FP11" s="2460"/>
      <c r="FQ11" s="2460"/>
      <c r="FR11" s="2460"/>
      <c r="FS11" s="2460"/>
      <c r="FT11" s="2460"/>
      <c r="FU11" s="2460"/>
      <c r="FV11" s="2460"/>
      <c r="FW11" s="2474"/>
      <c r="FX11" s="769"/>
      <c r="GC11" s="933">
        <v>12</v>
      </c>
    </row>
    <row customHeight="1" ht="12.75">
      <c r="D12" s="945"/>
      <c r="E12" s="944"/>
      <c r="F12" s="2231"/>
      <c r="G12" s="2231"/>
      <c r="H12" s="2463"/>
      <c r="I12" s="2463"/>
      <c r="J12" s="2464"/>
      <c r="K12" s="2464"/>
      <c r="L12" s="2464"/>
      <c r="M12" s="2464"/>
      <c r="N12" s="2464"/>
      <c r="O12" s="2235" t="s">
        <v>1125</v>
      </c>
      <c r="P12" s="2235"/>
      <c r="Q12" s="2235"/>
      <c r="R12" s="2235"/>
      <c r="S12" s="2235" t="s">
        <v>1126</v>
      </c>
      <c r="T12" s="2235"/>
      <c r="U12" s="2235"/>
      <c r="V12" s="2235"/>
      <c r="W12" s="2235"/>
      <c r="X12" s="2235"/>
      <c r="Y12" s="2235"/>
      <c r="Z12" s="2235"/>
      <c r="AA12" s="2235"/>
      <c r="AB12" s="2235"/>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60"/>
      <c r="AY12" s="2460"/>
      <c r="AZ12" s="2460"/>
      <c r="BA12" s="2460"/>
      <c r="BB12" s="2460"/>
      <c r="BC12" s="2460"/>
      <c r="BD12" s="2460"/>
      <c r="BE12" s="2460"/>
      <c r="BF12" s="2460"/>
      <c r="BG12" s="2460"/>
      <c r="BH12" s="2460"/>
      <c r="BI12" s="2460"/>
      <c r="BJ12" s="2460"/>
      <c r="BK12" s="2460"/>
      <c r="BL12" s="2460"/>
      <c r="BM12" s="2460"/>
      <c r="BN12" s="2460"/>
      <c r="BO12" s="2460"/>
      <c r="BP12" s="2460"/>
      <c r="BQ12" s="2460"/>
      <c r="BR12" s="2460"/>
      <c r="BS12" s="2479"/>
      <c r="BT12" s="2412" t="s">
        <v>1127</v>
      </c>
      <c r="BU12" s="2413"/>
      <c r="BV12" s="2413"/>
      <c r="BW12" s="2459"/>
      <c r="BX12" s="2412" t="s">
        <v>1128</v>
      </c>
      <c r="BY12" s="2413"/>
      <c r="BZ12" s="2413"/>
      <c r="CA12" s="2459"/>
      <c r="CB12" s="2412" t="s">
        <v>1129</v>
      </c>
      <c r="CC12" s="2459"/>
      <c r="CD12" s="2412" t="s">
        <v>1130</v>
      </c>
      <c r="CE12" s="2413"/>
      <c r="CF12" s="2413"/>
      <c r="CG12" s="2413"/>
      <c r="CH12" s="2413"/>
      <c r="CI12" s="2413"/>
      <c r="CJ12" s="2413"/>
      <c r="CK12" s="2459"/>
      <c r="CL12" s="2462"/>
      <c r="CM12" s="2460"/>
      <c r="CN12" s="2460"/>
      <c r="CO12" s="2460"/>
      <c r="CP12" s="2460"/>
      <c r="CQ12" s="2460"/>
      <c r="CR12" s="2460"/>
      <c r="CS12" s="2460"/>
      <c r="CT12" s="2460"/>
      <c r="CU12" s="2460"/>
      <c r="CV12" s="2460"/>
      <c r="CW12" s="2460"/>
      <c r="CX12" s="2479"/>
      <c r="CY12" s="2412" t="s">
        <v>1131</v>
      </c>
      <c r="CZ12" s="2413"/>
      <c r="DA12" s="2413"/>
      <c r="DB12" s="2413"/>
      <c r="DC12" s="2413"/>
      <c r="DD12" s="2459"/>
      <c r="DE12" s="2412" t="s">
        <v>1132</v>
      </c>
      <c r="DF12" s="2459"/>
      <c r="DG12" s="2412" t="s">
        <v>1130</v>
      </c>
      <c r="DH12" s="2413"/>
      <c r="DI12" s="2413"/>
      <c r="DJ12" s="2459"/>
      <c r="DK12" s="2462"/>
      <c r="DL12" s="2460"/>
      <c r="DM12" s="2460"/>
      <c r="DN12" s="2460"/>
      <c r="DO12" s="2460"/>
      <c r="DP12" s="2460"/>
      <c r="DQ12" s="2460"/>
      <c r="DR12" s="2460"/>
      <c r="DS12" s="2460"/>
      <c r="DT12" s="2460"/>
      <c r="DU12" s="2460"/>
      <c r="DV12" s="2460"/>
      <c r="DW12" s="2460"/>
      <c r="DX12" s="2460"/>
      <c r="DY12" s="2460"/>
      <c r="DZ12" s="2460"/>
      <c r="EA12" s="2460"/>
      <c r="EB12" s="2460"/>
      <c r="EC12" s="2460"/>
      <c r="ED12" s="2460"/>
      <c r="EE12" s="2460"/>
      <c r="EF12" s="2460"/>
      <c r="EG12" s="2460"/>
      <c r="EH12" s="2460"/>
      <c r="EI12" s="2460"/>
      <c r="EJ12" s="2460"/>
      <c r="EK12" s="2460"/>
      <c r="EL12" s="2460"/>
      <c r="EM12" s="2460"/>
      <c r="EN12" s="2460"/>
      <c r="EO12" s="2460"/>
      <c r="EP12" s="2460"/>
      <c r="EQ12" s="2460"/>
      <c r="ER12" s="2460"/>
      <c r="ES12" s="2460"/>
      <c r="ET12" s="2460"/>
      <c r="EU12" s="2460"/>
      <c r="EV12" s="2460"/>
      <c r="EW12" s="2460"/>
      <c r="EX12" s="2460"/>
      <c r="EY12" s="2460"/>
      <c r="EZ12" s="2460"/>
      <c r="FA12" s="2460"/>
      <c r="FB12" s="2460"/>
      <c r="FC12" s="2460"/>
      <c r="FD12" s="2460"/>
      <c r="FE12" s="2460"/>
      <c r="FF12" s="2460"/>
      <c r="FG12" s="2460"/>
      <c r="FH12" s="2460"/>
      <c r="FI12" s="2460"/>
      <c r="FJ12" s="2460"/>
      <c r="FK12" s="2460"/>
      <c r="FL12" s="2460"/>
      <c r="FM12" s="2460"/>
      <c r="FN12" s="2460"/>
      <c r="FO12" s="2460"/>
      <c r="FP12" s="2460"/>
      <c r="FQ12" s="2460"/>
      <c r="FR12" s="2460"/>
      <c r="FS12" s="2460"/>
      <c r="FT12" s="2460"/>
      <c r="FU12" s="2460"/>
      <c r="FV12" s="2460"/>
      <c r="FW12" s="2474"/>
      <c r="FX12" s="769"/>
      <c r="GC12" s="933">
        <v>12</v>
      </c>
    </row>
    <row customHeight="1" ht="37.8">
      <c r="D13" s="945"/>
      <c r="E13" s="944"/>
      <c r="F13" s="2231"/>
      <c r="G13" s="2231"/>
      <c r="H13" s="2463"/>
      <c r="I13" s="2463"/>
      <c r="J13" s="2464"/>
      <c r="K13" s="2464"/>
      <c r="L13" s="2464"/>
      <c r="M13" s="2464"/>
      <c r="N13" s="2464"/>
      <c r="O13" s="2235" t="s">
        <v>1133</v>
      </c>
      <c r="P13" s="2235"/>
      <c r="Q13" s="2235"/>
      <c r="R13" s="2235"/>
      <c r="S13" s="2362" t="s">
        <v>1134</v>
      </c>
      <c r="T13" s="2414"/>
      <c r="U13" s="2153" t="s">
        <v>1135</v>
      </c>
      <c r="V13" s="2153"/>
      <c r="W13" s="2153"/>
      <c r="X13" s="2153"/>
      <c r="Y13" s="2153" t="s">
        <v>1136</v>
      </c>
      <c r="Z13" s="2153"/>
      <c r="AA13" s="2153"/>
      <c r="AB13" s="2153"/>
      <c r="AC13" s="2460"/>
      <c r="AD13" s="2460"/>
      <c r="AE13" s="2460"/>
      <c r="AF13" s="2460"/>
      <c r="AG13" s="2460"/>
      <c r="AH13" s="2460"/>
      <c r="AI13" s="2460"/>
      <c r="AJ13" s="2460"/>
      <c r="AK13" s="2460"/>
      <c r="AL13" s="2460"/>
      <c r="AM13" s="2460"/>
      <c r="AN13" s="2460"/>
      <c r="AO13" s="2460"/>
      <c r="AP13" s="2460"/>
      <c r="AQ13" s="2460"/>
      <c r="AR13" s="2460"/>
      <c r="AS13" s="2460"/>
      <c r="AT13" s="2460"/>
      <c r="AU13" s="2460"/>
      <c r="AV13" s="2460"/>
      <c r="AW13" s="2460"/>
      <c r="AX13" s="2460"/>
      <c r="AY13" s="2460"/>
      <c r="AZ13" s="2460"/>
      <c r="BA13" s="2460"/>
      <c r="BB13" s="2460"/>
      <c r="BC13" s="2460"/>
      <c r="BD13" s="2460"/>
      <c r="BE13" s="2460"/>
      <c r="BF13" s="2460"/>
      <c r="BG13" s="2460"/>
      <c r="BH13" s="2460"/>
      <c r="BI13" s="2460"/>
      <c r="BJ13" s="2460"/>
      <c r="BK13" s="2460"/>
      <c r="BL13" s="2460"/>
      <c r="BM13" s="2460"/>
      <c r="BN13" s="2460"/>
      <c r="BO13" s="2460"/>
      <c r="BP13" s="2460"/>
      <c r="BQ13" s="2460"/>
      <c r="BR13" s="2460"/>
      <c r="BS13" s="2479"/>
      <c r="BT13" s="2362" t="s">
        <v>1137</v>
      </c>
      <c r="BU13" s="2414"/>
      <c r="BV13" s="2362" t="s">
        <v>1138</v>
      </c>
      <c r="BW13" s="2414"/>
      <c r="BX13" s="2362" t="s">
        <v>1139</v>
      </c>
      <c r="BY13" s="2414"/>
      <c r="BZ13" s="2362" t="s">
        <v>1140</v>
      </c>
      <c r="CA13" s="2414"/>
      <c r="CB13" s="2362" t="s">
        <v>1141</v>
      </c>
      <c r="CC13" s="2414"/>
      <c r="CD13" s="2362" t="s">
        <v>1142</v>
      </c>
      <c r="CE13" s="2414"/>
      <c r="CF13" s="2362" t="s">
        <v>1143</v>
      </c>
      <c r="CG13" s="2414"/>
      <c r="CH13" s="2412" t="s">
        <v>1144</v>
      </c>
      <c r="CI13" s="2413"/>
      <c r="CJ13" s="2413"/>
      <c r="CK13" s="2459"/>
      <c r="CL13" s="2462"/>
      <c r="CM13" s="2460"/>
      <c r="CN13" s="2460"/>
      <c r="CO13" s="2460"/>
      <c r="CP13" s="2460"/>
      <c r="CQ13" s="2460"/>
      <c r="CR13" s="2460"/>
      <c r="CS13" s="2460"/>
      <c r="CT13" s="2460"/>
      <c r="CU13" s="2460"/>
      <c r="CV13" s="2460"/>
      <c r="CW13" s="2460"/>
      <c r="CX13" s="2479"/>
      <c r="CY13" s="2362" t="s">
        <v>1145</v>
      </c>
      <c r="CZ13" s="2414"/>
      <c r="DA13" s="2362" t="s">
        <v>1146</v>
      </c>
      <c r="DB13" s="2414"/>
      <c r="DC13" s="2362" t="s">
        <v>1147</v>
      </c>
      <c r="DD13" s="2414"/>
      <c r="DE13" s="2362" t="s">
        <v>1148</v>
      </c>
      <c r="DF13" s="2414"/>
      <c r="DG13" s="2412" t="s">
        <v>1149</v>
      </c>
      <c r="DH13" s="2413"/>
      <c r="DI13" s="2413"/>
      <c r="DJ13" s="2459"/>
      <c r="DK13" s="2462"/>
      <c r="DL13" s="2460"/>
      <c r="DM13" s="2460"/>
      <c r="DN13" s="2460"/>
      <c r="DO13" s="2460"/>
      <c r="DP13" s="2460"/>
      <c r="DQ13" s="2460"/>
      <c r="DR13" s="2460"/>
      <c r="DS13" s="2460"/>
      <c r="DT13" s="2460"/>
      <c r="DU13" s="2460"/>
      <c r="DV13" s="2460"/>
      <c r="DW13" s="2460"/>
      <c r="DX13" s="2460"/>
      <c r="DY13" s="2460"/>
      <c r="DZ13" s="2460"/>
      <c r="EA13" s="2460"/>
      <c r="EB13" s="2460"/>
      <c r="EC13" s="2460"/>
      <c r="ED13" s="2460"/>
      <c r="EE13" s="2460"/>
      <c r="EF13" s="2460"/>
      <c r="EG13" s="2460"/>
      <c r="EH13" s="2460"/>
      <c r="EI13" s="2460"/>
      <c r="EJ13" s="2460"/>
      <c r="EK13" s="2460"/>
      <c r="EL13" s="2460"/>
      <c r="EM13" s="2460"/>
      <c r="EN13" s="2460"/>
      <c r="EO13" s="2460"/>
      <c r="EP13" s="2460"/>
      <c r="EQ13" s="2460"/>
      <c r="ER13" s="2460"/>
      <c r="ES13" s="2460"/>
      <c r="ET13" s="2460"/>
      <c r="EU13" s="2460"/>
      <c r="EV13" s="2460"/>
      <c r="EW13" s="2460"/>
      <c r="EX13" s="2460"/>
      <c r="EY13" s="2460"/>
      <c r="EZ13" s="2460"/>
      <c r="FA13" s="2460"/>
      <c r="FB13" s="2460"/>
      <c r="FC13" s="2460"/>
      <c r="FD13" s="2460"/>
      <c r="FE13" s="2460"/>
      <c r="FF13" s="2460"/>
      <c r="FG13" s="2460"/>
      <c r="FH13" s="2460"/>
      <c r="FI13" s="2460"/>
      <c r="FJ13" s="2460"/>
      <c r="FK13" s="2460"/>
      <c r="FL13" s="2460"/>
      <c r="FM13" s="2460"/>
      <c r="FN13" s="2460"/>
      <c r="FO13" s="2460"/>
      <c r="FP13" s="2460"/>
      <c r="FQ13" s="2460"/>
      <c r="FR13" s="2460"/>
      <c r="FS13" s="2460"/>
      <c r="FT13" s="2460"/>
      <c r="FU13" s="2460"/>
      <c r="FV13" s="2460"/>
      <c r="FW13" s="2474"/>
      <c r="FX13" s="769"/>
      <c r="GC13" s="933">
        <v>36</v>
      </c>
    </row>
    <row customHeight="1" ht="37.8">
      <c r="D14" s="945"/>
      <c r="E14" s="944"/>
      <c r="F14" s="2231"/>
      <c r="G14" s="2231"/>
      <c r="H14" s="2463"/>
      <c r="I14" s="2463"/>
      <c r="J14" s="2464"/>
      <c r="K14" s="2464"/>
      <c r="L14" s="2464"/>
      <c r="M14" s="2464"/>
      <c r="N14" s="2464"/>
      <c r="O14" s="2362" t="s">
        <v>1150</v>
      </c>
      <c r="P14" s="2414"/>
      <c r="Q14" s="2362" t="s">
        <v>1151</v>
      </c>
      <c r="R14" s="2414"/>
      <c r="S14" s="2363"/>
      <c r="T14" s="2239"/>
      <c r="U14" s="2362" t="s">
        <v>863</v>
      </c>
      <c r="V14" s="2414"/>
      <c r="W14" s="2362" t="s">
        <v>866</v>
      </c>
      <c r="X14" s="2414"/>
      <c r="Y14" s="2362" t="s">
        <v>863</v>
      </c>
      <c r="Z14" s="2414"/>
      <c r="AA14" s="2362" t="s">
        <v>873</v>
      </c>
      <c r="AB14" s="2414"/>
      <c r="AC14" s="2460"/>
      <c r="AD14" s="2460"/>
      <c r="AE14" s="2460"/>
      <c r="AF14" s="2460"/>
      <c r="AG14" s="2460"/>
      <c r="AH14" s="2460"/>
      <c r="AI14" s="2460"/>
      <c r="AJ14" s="2460"/>
      <c r="AK14" s="2460"/>
      <c r="AL14" s="2460"/>
      <c r="AM14" s="2460"/>
      <c r="AN14" s="2460"/>
      <c r="AO14" s="2460"/>
      <c r="AP14" s="2460"/>
      <c r="AQ14" s="2460"/>
      <c r="AR14" s="2460"/>
      <c r="AS14" s="2460"/>
      <c r="AT14" s="2460"/>
      <c r="AU14" s="2460"/>
      <c r="AV14" s="2460"/>
      <c r="AW14" s="2460"/>
      <c r="AX14" s="2460"/>
      <c r="AY14" s="2460"/>
      <c r="AZ14" s="2460"/>
      <c r="BA14" s="2460"/>
      <c r="BB14" s="2460"/>
      <c r="BC14" s="2460"/>
      <c r="BD14" s="2460"/>
      <c r="BE14" s="2460"/>
      <c r="BF14" s="2460"/>
      <c r="BG14" s="2460"/>
      <c r="BH14" s="2460"/>
      <c r="BI14" s="2460"/>
      <c r="BJ14" s="2460"/>
      <c r="BK14" s="2460"/>
      <c r="BL14" s="2460"/>
      <c r="BM14" s="2460"/>
      <c r="BN14" s="2460"/>
      <c r="BO14" s="2460"/>
      <c r="BP14" s="2460"/>
      <c r="BQ14" s="2460"/>
      <c r="BR14" s="2460"/>
      <c r="BS14" s="2479"/>
      <c r="BT14" s="2363"/>
      <c r="BU14" s="2239"/>
      <c r="BV14" s="2363"/>
      <c r="BW14" s="2239"/>
      <c r="BX14" s="2363"/>
      <c r="BY14" s="2239"/>
      <c r="BZ14" s="2363"/>
      <c r="CA14" s="2239"/>
      <c r="CB14" s="2363"/>
      <c r="CC14" s="2239"/>
      <c r="CD14" s="2363"/>
      <c r="CE14" s="2239"/>
      <c r="CF14" s="2363"/>
      <c r="CG14" s="2239"/>
      <c r="CH14" s="2362" t="s">
        <v>1152</v>
      </c>
      <c r="CI14" s="2414"/>
      <c r="CJ14" s="2362" t="s">
        <v>1153</v>
      </c>
      <c r="CK14" s="2414"/>
      <c r="CL14" s="2462"/>
      <c r="CM14" s="2460"/>
      <c r="CN14" s="2460"/>
      <c r="CO14" s="2460"/>
      <c r="CP14" s="2460"/>
      <c r="CQ14" s="2460"/>
      <c r="CR14" s="2460"/>
      <c r="CS14" s="2460"/>
      <c r="CT14" s="2460"/>
      <c r="CU14" s="2460"/>
      <c r="CV14" s="2460"/>
      <c r="CW14" s="2460"/>
      <c r="CX14" s="2479"/>
      <c r="CY14" s="2363"/>
      <c r="CZ14" s="2239"/>
      <c r="DA14" s="2363"/>
      <c r="DB14" s="2239"/>
      <c r="DC14" s="2363"/>
      <c r="DD14" s="2239"/>
      <c r="DE14" s="2363"/>
      <c r="DF14" s="2239"/>
      <c r="DG14" s="2362" t="s">
        <v>1154</v>
      </c>
      <c r="DH14" s="2414"/>
      <c r="DI14" s="2362" t="s">
        <v>1155</v>
      </c>
      <c r="DJ14" s="2414"/>
      <c r="DK14" s="2462"/>
      <c r="DL14" s="2460"/>
      <c r="DM14" s="2460"/>
      <c r="DN14" s="2460"/>
      <c r="DO14" s="2460"/>
      <c r="DP14" s="2460"/>
      <c r="DQ14" s="2460"/>
      <c r="DR14" s="2460"/>
      <c r="DS14" s="2460"/>
      <c r="DT14" s="2460"/>
      <c r="DU14" s="2460"/>
      <c r="DV14" s="2460"/>
      <c r="DW14" s="2460"/>
      <c r="DX14" s="2460"/>
      <c r="DY14" s="2460"/>
      <c r="DZ14" s="2460"/>
      <c r="EA14" s="2460"/>
      <c r="EB14" s="2460"/>
      <c r="EC14" s="2460"/>
      <c r="ED14" s="2460"/>
      <c r="EE14" s="2460"/>
      <c r="EF14" s="2460"/>
      <c r="EG14" s="2460"/>
      <c r="EH14" s="2460"/>
      <c r="EI14" s="2460"/>
      <c r="EJ14" s="2460"/>
      <c r="EK14" s="2460"/>
      <c r="EL14" s="2460"/>
      <c r="EM14" s="2460"/>
      <c r="EN14" s="2460"/>
      <c r="EO14" s="2460"/>
      <c r="EP14" s="2460"/>
      <c r="EQ14" s="2460"/>
      <c r="ER14" s="2460"/>
      <c r="ES14" s="2460"/>
      <c r="ET14" s="2460"/>
      <c r="EU14" s="2460"/>
      <c r="EV14" s="2460"/>
      <c r="EW14" s="2460"/>
      <c r="EX14" s="2460"/>
      <c r="EY14" s="2460"/>
      <c r="EZ14" s="2460"/>
      <c r="FA14" s="2460"/>
      <c r="FB14" s="2460"/>
      <c r="FC14" s="2460"/>
      <c r="FD14" s="2460"/>
      <c r="FE14" s="2460"/>
      <c r="FF14" s="2460"/>
      <c r="FG14" s="2460"/>
      <c r="FH14" s="2460"/>
      <c r="FI14" s="2460"/>
      <c r="FJ14" s="2460"/>
      <c r="FK14" s="2460"/>
      <c r="FL14" s="2460"/>
      <c r="FM14" s="2460"/>
      <c r="FN14" s="2460"/>
      <c r="FO14" s="2460"/>
      <c r="FP14" s="2460"/>
      <c r="FQ14" s="2460"/>
      <c r="FR14" s="2460"/>
      <c r="FS14" s="2460"/>
      <c r="FT14" s="2460"/>
      <c r="FU14" s="2460"/>
      <c r="FV14" s="2460"/>
      <c r="FW14" s="2474"/>
      <c r="FX14" s="769"/>
      <c r="GC14" s="933">
        <v>36</v>
      </c>
    </row>
    <row customHeight="1" ht="37.8">
      <c r="D15" s="945"/>
      <c r="E15" s="944"/>
      <c r="F15" s="2231"/>
      <c r="G15" s="2231"/>
      <c r="H15" s="2463"/>
      <c r="I15" s="2463"/>
      <c r="J15" s="2464"/>
      <c r="K15" s="2464"/>
      <c r="L15" s="2464"/>
      <c r="M15" s="2464"/>
      <c r="N15" s="2464"/>
      <c r="O15" s="2364"/>
      <c r="P15" s="2461"/>
      <c r="Q15" s="2364"/>
      <c r="R15" s="2461"/>
      <c r="S15" s="2364"/>
      <c r="T15" s="2461"/>
      <c r="U15" s="2364"/>
      <c r="V15" s="2461"/>
      <c r="W15" s="2364"/>
      <c r="X15" s="2461"/>
      <c r="Y15" s="2364"/>
      <c r="Z15" s="2461"/>
      <c r="AA15" s="2364"/>
      <c r="AB15" s="2461"/>
      <c r="AC15" s="2460"/>
      <c r="AD15" s="2460"/>
      <c r="AE15" s="2460"/>
      <c r="AF15" s="2460"/>
      <c r="AG15" s="2460"/>
      <c r="AH15" s="2460"/>
      <c r="AI15" s="2460"/>
      <c r="AJ15" s="2460"/>
      <c r="AK15" s="2460"/>
      <c r="AL15" s="2460"/>
      <c r="AM15" s="2460"/>
      <c r="AN15" s="2460"/>
      <c r="AO15" s="2460"/>
      <c r="AP15" s="2460"/>
      <c r="AQ15" s="2460"/>
      <c r="AR15" s="2460"/>
      <c r="AS15" s="2460"/>
      <c r="AT15" s="2460"/>
      <c r="AU15" s="2460"/>
      <c r="AV15" s="2460"/>
      <c r="AW15" s="2460"/>
      <c r="AX15" s="2460"/>
      <c r="AY15" s="2460"/>
      <c r="AZ15" s="2460"/>
      <c r="BA15" s="2460"/>
      <c r="BB15" s="2460"/>
      <c r="BC15" s="2460"/>
      <c r="BD15" s="2460"/>
      <c r="BE15" s="2460"/>
      <c r="BF15" s="2460"/>
      <c r="BG15" s="2460"/>
      <c r="BH15" s="2460"/>
      <c r="BI15" s="2460"/>
      <c r="BJ15" s="2460"/>
      <c r="BK15" s="2460"/>
      <c r="BL15" s="2460"/>
      <c r="BM15" s="2460"/>
      <c r="BN15" s="2460"/>
      <c r="BO15" s="2460"/>
      <c r="BP15" s="2460"/>
      <c r="BQ15" s="2460"/>
      <c r="BR15" s="2460"/>
      <c r="BS15" s="2479"/>
      <c r="BT15" s="2364"/>
      <c r="BU15" s="2461"/>
      <c r="BV15" s="2364"/>
      <c r="BW15" s="2461"/>
      <c r="BX15" s="2364"/>
      <c r="BY15" s="2461"/>
      <c r="BZ15" s="2364"/>
      <c r="CA15" s="2461"/>
      <c r="CB15" s="2364"/>
      <c r="CC15" s="2461"/>
      <c r="CD15" s="2364"/>
      <c r="CE15" s="2461"/>
      <c r="CF15" s="2364"/>
      <c r="CG15" s="2461"/>
      <c r="CH15" s="2364"/>
      <c r="CI15" s="2461"/>
      <c r="CJ15" s="2364"/>
      <c r="CK15" s="2461"/>
      <c r="CL15" s="2462"/>
      <c r="CM15" s="2460"/>
      <c r="CN15" s="2460"/>
      <c r="CO15" s="2460"/>
      <c r="CP15" s="2460"/>
      <c r="CQ15" s="2460"/>
      <c r="CR15" s="2460"/>
      <c r="CS15" s="2460"/>
      <c r="CT15" s="2460"/>
      <c r="CU15" s="2460"/>
      <c r="CV15" s="2460"/>
      <c r="CW15" s="2460"/>
      <c r="CX15" s="2479"/>
      <c r="CY15" s="2364"/>
      <c r="CZ15" s="2461"/>
      <c r="DA15" s="2364"/>
      <c r="DB15" s="2461"/>
      <c r="DC15" s="2364"/>
      <c r="DD15" s="2461"/>
      <c r="DE15" s="2364"/>
      <c r="DF15" s="2461"/>
      <c r="DG15" s="2364"/>
      <c r="DH15" s="2461"/>
      <c r="DI15" s="2364"/>
      <c r="DJ15" s="2461"/>
      <c r="DK15" s="2462"/>
      <c r="DL15" s="2460"/>
      <c r="DM15" s="2460"/>
      <c r="DN15" s="2460"/>
      <c r="DO15" s="2460"/>
      <c r="DP15" s="2460"/>
      <c r="DQ15" s="2460"/>
      <c r="DR15" s="2460"/>
      <c r="DS15" s="2460"/>
      <c r="DT15" s="2460"/>
      <c r="DU15" s="2460"/>
      <c r="DV15" s="2460"/>
      <c r="DW15" s="2460"/>
      <c r="DX15" s="2460"/>
      <c r="DY15" s="2460"/>
      <c r="DZ15" s="2460"/>
      <c r="EA15" s="2460"/>
      <c r="EB15" s="2460"/>
      <c r="EC15" s="2460"/>
      <c r="ED15" s="2460"/>
      <c r="EE15" s="2460"/>
      <c r="EF15" s="2460"/>
      <c r="EG15" s="2460"/>
      <c r="EH15" s="2460"/>
      <c r="EI15" s="2460"/>
      <c r="EJ15" s="2460"/>
      <c r="EK15" s="2460"/>
      <c r="EL15" s="2460"/>
      <c r="EM15" s="2460"/>
      <c r="EN15" s="2460"/>
      <c r="EO15" s="2460"/>
      <c r="EP15" s="2460"/>
      <c r="EQ15" s="2460"/>
      <c r="ER15" s="2460"/>
      <c r="ES15" s="2460"/>
      <c r="ET15" s="2460"/>
      <c r="EU15" s="2460"/>
      <c r="EV15" s="2460"/>
      <c r="EW15" s="2460"/>
      <c r="EX15" s="2460"/>
      <c r="EY15" s="2460"/>
      <c r="EZ15" s="2460"/>
      <c r="FA15" s="2460"/>
      <c r="FB15" s="2460"/>
      <c r="FC15" s="2460"/>
      <c r="FD15" s="2460"/>
      <c r="FE15" s="2460"/>
      <c r="FF15" s="2460"/>
      <c r="FG15" s="2460"/>
      <c r="FH15" s="2460"/>
      <c r="FI15" s="2460"/>
      <c r="FJ15" s="2460"/>
      <c r="FK15" s="2460"/>
      <c r="FL15" s="2460"/>
      <c r="FM15" s="2460"/>
      <c r="FN15" s="2460"/>
      <c r="FO15" s="2460"/>
      <c r="FP15" s="2460"/>
      <c r="FQ15" s="2460"/>
      <c r="FR15" s="2460"/>
      <c r="FS15" s="2460"/>
      <c r="FT15" s="2460"/>
      <c r="FU15" s="2460"/>
      <c r="FV15" s="2460"/>
      <c r="FW15" s="2474"/>
      <c r="FX15" s="769"/>
      <c r="GC15" s="933">
        <v>36</v>
      </c>
    </row>
    <row customHeight="1" ht="12.75">
      <c r="D16" s="945"/>
      <c r="E16" s="944"/>
      <c r="F16" s="2231"/>
      <c r="G16" s="2231"/>
      <c r="H16" s="2463"/>
      <c r="I16" s="2463"/>
      <c r="J16" s="2464"/>
      <c r="K16" s="2464"/>
      <c r="L16" s="2464"/>
      <c r="M16" s="2464"/>
      <c r="N16" s="2464"/>
      <c r="O16" s="2412" t="s">
        <v>853</v>
      </c>
      <c r="P16" s="2459"/>
      <c r="Q16" s="2412" t="s">
        <v>855</v>
      </c>
      <c r="R16" s="2459"/>
      <c r="S16" s="2412" t="s">
        <v>859</v>
      </c>
      <c r="T16" s="2459"/>
      <c r="U16" s="2412" t="s">
        <v>864</v>
      </c>
      <c r="V16" s="2459"/>
      <c r="W16" s="2412" t="s">
        <v>867</v>
      </c>
      <c r="X16" s="2459"/>
      <c r="Y16" s="2412" t="s">
        <v>871</v>
      </c>
      <c r="Z16" s="2459"/>
      <c r="AA16" s="2412" t="s">
        <v>874</v>
      </c>
      <c r="AB16" s="2459"/>
      <c r="AC16" s="2460"/>
      <c r="AD16" s="2460"/>
      <c r="AE16" s="2460"/>
      <c r="AF16" s="2460"/>
      <c r="AG16" s="2460"/>
      <c r="AH16" s="2460"/>
      <c r="AI16" s="2460"/>
      <c r="AJ16" s="2460"/>
      <c r="AK16" s="2460"/>
      <c r="AL16" s="2460"/>
      <c r="AM16" s="2460"/>
      <c r="AN16" s="2460"/>
      <c r="AO16" s="2460"/>
      <c r="AP16" s="2460"/>
      <c r="AQ16" s="2460"/>
      <c r="AR16" s="2460"/>
      <c r="AS16" s="2460"/>
      <c r="AT16" s="2460"/>
      <c r="AU16" s="2460"/>
      <c r="AV16" s="2460"/>
      <c r="AW16" s="2460"/>
      <c r="AX16" s="2460"/>
      <c r="AY16" s="2460"/>
      <c r="AZ16" s="2460"/>
      <c r="BA16" s="2460"/>
      <c r="BB16" s="2460"/>
      <c r="BC16" s="2460"/>
      <c r="BD16" s="2460"/>
      <c r="BE16" s="2460"/>
      <c r="BF16" s="2460"/>
      <c r="BG16" s="2460"/>
      <c r="BH16" s="2460"/>
      <c r="BI16" s="2460"/>
      <c r="BJ16" s="2460"/>
      <c r="BK16" s="2460"/>
      <c r="BL16" s="2460"/>
      <c r="BM16" s="2460"/>
      <c r="BN16" s="2460"/>
      <c r="BO16" s="2460"/>
      <c r="BP16" s="2460"/>
      <c r="BQ16" s="2460"/>
      <c r="BR16" s="2460"/>
      <c r="BS16" s="2479"/>
      <c r="BT16" s="2412" t="s">
        <v>555</v>
      </c>
      <c r="BU16" s="2459"/>
      <c r="BV16" s="2412" t="s">
        <v>555</v>
      </c>
      <c r="BW16" s="2459"/>
      <c r="BX16" s="2412" t="s">
        <v>555</v>
      </c>
      <c r="BY16" s="2459"/>
      <c r="BZ16" s="2412" t="s">
        <v>555</v>
      </c>
      <c r="CA16" s="2459"/>
      <c r="CB16" s="2412" t="s">
        <v>1156</v>
      </c>
      <c r="CC16" s="2459"/>
      <c r="CD16" s="2412" t="s">
        <v>555</v>
      </c>
      <c r="CE16" s="2459"/>
      <c r="CF16" s="2412" t="s">
        <v>1157</v>
      </c>
      <c r="CG16" s="2459"/>
      <c r="CH16" s="2412" t="s">
        <v>1158</v>
      </c>
      <c r="CI16" s="2459"/>
      <c r="CJ16" s="2412" t="s">
        <v>1158</v>
      </c>
      <c r="CK16" s="2459"/>
      <c r="CL16" s="2462"/>
      <c r="CM16" s="2460"/>
      <c r="CN16" s="2460"/>
      <c r="CO16" s="2460"/>
      <c r="CP16" s="2460"/>
      <c r="CQ16" s="2460"/>
      <c r="CR16" s="2460"/>
      <c r="CS16" s="2460"/>
      <c r="CT16" s="2460"/>
      <c r="CU16" s="2460"/>
      <c r="CV16" s="2460"/>
      <c r="CW16" s="2460"/>
      <c r="CX16" s="2479"/>
      <c r="CY16" s="2362" t="s">
        <v>555</v>
      </c>
      <c r="CZ16" s="2414"/>
      <c r="DA16" s="2362" t="s">
        <v>555</v>
      </c>
      <c r="DB16" s="2414"/>
      <c r="DC16" s="2362" t="s">
        <v>555</v>
      </c>
      <c r="DD16" s="2414"/>
      <c r="DE16" s="2412" t="s">
        <v>1156</v>
      </c>
      <c r="DF16" s="2459"/>
      <c r="DG16" s="2412" t="s">
        <v>1159</v>
      </c>
      <c r="DH16" s="2459"/>
      <c r="DI16" s="2412" t="s">
        <v>1159</v>
      </c>
      <c r="DJ16" s="2459"/>
      <c r="DK16" s="2462"/>
      <c r="DL16" s="2460"/>
      <c r="DM16" s="2460"/>
      <c r="DN16" s="2460"/>
      <c r="DO16" s="2460"/>
      <c r="DP16" s="2460"/>
      <c r="DQ16" s="2460"/>
      <c r="DR16" s="2460"/>
      <c r="DS16" s="2460"/>
      <c r="DT16" s="2460"/>
      <c r="DU16" s="2460"/>
      <c r="DV16" s="2460"/>
      <c r="DW16" s="2460"/>
      <c r="DX16" s="2460"/>
      <c r="DY16" s="2460"/>
      <c r="DZ16" s="2460"/>
      <c r="EA16" s="2460"/>
      <c r="EB16" s="2460"/>
      <c r="EC16" s="2460"/>
      <c r="ED16" s="2460"/>
      <c r="EE16" s="2460"/>
      <c r="EF16" s="2460"/>
      <c r="EG16" s="2460"/>
      <c r="EH16" s="2460"/>
      <c r="EI16" s="2460"/>
      <c r="EJ16" s="2460"/>
      <c r="EK16" s="2460"/>
      <c r="EL16" s="2460"/>
      <c r="EM16" s="2460"/>
      <c r="EN16" s="2460"/>
      <c r="EO16" s="2460"/>
      <c r="EP16" s="2460"/>
      <c r="EQ16" s="2460"/>
      <c r="ER16" s="2460"/>
      <c r="ES16" s="2460"/>
      <c r="ET16" s="2460"/>
      <c r="EU16" s="2460"/>
      <c r="EV16" s="2460"/>
      <c r="EW16" s="2460"/>
      <c r="EX16" s="2460"/>
      <c r="EY16" s="2460"/>
      <c r="EZ16" s="2460"/>
      <c r="FA16" s="2460"/>
      <c r="FB16" s="2460"/>
      <c r="FC16" s="2460"/>
      <c r="FD16" s="2460"/>
      <c r="FE16" s="2460"/>
      <c r="FF16" s="2460"/>
      <c r="FG16" s="2460"/>
      <c r="FH16" s="2460"/>
      <c r="FI16" s="2460"/>
      <c r="FJ16" s="2460"/>
      <c r="FK16" s="2460"/>
      <c r="FL16" s="2460"/>
      <c r="FM16" s="2460"/>
      <c r="FN16" s="2460"/>
      <c r="FO16" s="2460"/>
      <c r="FP16" s="2460"/>
      <c r="FQ16" s="2460"/>
      <c r="FR16" s="2460"/>
      <c r="FS16" s="2460"/>
      <c r="FT16" s="2460"/>
      <c r="FU16" s="2460"/>
      <c r="FV16" s="2460"/>
      <c r="FW16" s="2474"/>
      <c r="FX16" s="769"/>
      <c r="GC16" s="933">
        <v>12</v>
      </c>
    </row>
    <row customHeight="1" ht="15.75">
      <c r="E17" s="944"/>
      <c r="F17" s="2231"/>
      <c r="G17" s="2231"/>
      <c r="H17" s="2463"/>
      <c r="I17" s="2463"/>
      <c r="J17" s="2464"/>
      <c r="K17" s="2464"/>
      <c r="L17" s="2464"/>
      <c r="M17" s="2464"/>
      <c r="N17" s="2464"/>
      <c r="O17" s="1198" t="s">
        <v>1160</v>
      </c>
      <c r="P17" s="1198" t="s">
        <v>1161</v>
      </c>
      <c r="Q17" s="1198" t="s">
        <v>1160</v>
      </c>
      <c r="R17" s="1198" t="s">
        <v>1161</v>
      </c>
      <c r="S17" s="1198" t="s">
        <v>1160</v>
      </c>
      <c r="T17" s="1198" t="s">
        <v>1161</v>
      </c>
      <c r="U17" s="1198" t="s">
        <v>1160</v>
      </c>
      <c r="V17" s="1198" t="s">
        <v>1161</v>
      </c>
      <c r="W17" s="1198" t="s">
        <v>1160</v>
      </c>
      <c r="X17" s="1198" t="s">
        <v>1161</v>
      </c>
      <c r="Y17" s="1198" t="s">
        <v>1160</v>
      </c>
      <c r="Z17" s="1198" t="s">
        <v>1161</v>
      </c>
      <c r="AA17" s="1198" t="s">
        <v>1160</v>
      </c>
      <c r="AB17" s="1198" t="s">
        <v>1161</v>
      </c>
      <c r="AC17" s="2460"/>
      <c r="AD17" s="2460"/>
      <c r="AE17" s="2460"/>
      <c r="AF17" s="2460"/>
      <c r="AG17" s="2460"/>
      <c r="AH17" s="2460"/>
      <c r="AI17" s="2460"/>
      <c r="AJ17" s="2460"/>
      <c r="AK17" s="2460"/>
      <c r="AL17" s="2460"/>
      <c r="AM17" s="2460"/>
      <c r="AN17" s="2460"/>
      <c r="AO17" s="2460"/>
      <c r="AP17" s="2460"/>
      <c r="AQ17" s="2460"/>
      <c r="AR17" s="2460"/>
      <c r="AS17" s="2460"/>
      <c r="AT17" s="2460"/>
      <c r="AU17" s="2460"/>
      <c r="AV17" s="2460"/>
      <c r="AW17" s="2460"/>
      <c r="AX17" s="2460"/>
      <c r="AY17" s="2460"/>
      <c r="AZ17" s="2460"/>
      <c r="BA17" s="2460"/>
      <c r="BB17" s="2460"/>
      <c r="BC17" s="2460"/>
      <c r="BD17" s="2460"/>
      <c r="BE17" s="2460"/>
      <c r="BF17" s="2460"/>
      <c r="BG17" s="2460"/>
      <c r="BH17" s="2460"/>
      <c r="BI17" s="2460"/>
      <c r="BJ17" s="2460"/>
      <c r="BK17" s="2460"/>
      <c r="BL17" s="2460"/>
      <c r="BM17" s="2460"/>
      <c r="BN17" s="2460"/>
      <c r="BO17" s="2460"/>
      <c r="BP17" s="2460"/>
      <c r="BQ17" s="2460"/>
      <c r="BR17" s="2460"/>
      <c r="BS17" s="2479"/>
      <c r="BT17" s="1198" t="s">
        <v>1160</v>
      </c>
      <c r="BU17" s="1198" t="s">
        <v>1161</v>
      </c>
      <c r="BV17" s="1198" t="s">
        <v>1160</v>
      </c>
      <c r="BW17" s="1198" t="s">
        <v>1161</v>
      </c>
      <c r="BX17" s="1198" t="s">
        <v>1160</v>
      </c>
      <c r="BY17" s="1198" t="s">
        <v>1161</v>
      </c>
      <c r="BZ17" s="1198" t="s">
        <v>1160</v>
      </c>
      <c r="CA17" s="1198" t="s">
        <v>1161</v>
      </c>
      <c r="CB17" s="1198" t="s">
        <v>1160</v>
      </c>
      <c r="CC17" s="1198" t="s">
        <v>1161</v>
      </c>
      <c r="CD17" s="1198" t="s">
        <v>1160</v>
      </c>
      <c r="CE17" s="1198" t="s">
        <v>1161</v>
      </c>
      <c r="CF17" s="1198" t="s">
        <v>1160</v>
      </c>
      <c r="CG17" s="1198" t="s">
        <v>1161</v>
      </c>
      <c r="CH17" s="1198" t="s">
        <v>1160</v>
      </c>
      <c r="CI17" s="1198" t="s">
        <v>1161</v>
      </c>
      <c r="CJ17" s="1198" t="s">
        <v>1160</v>
      </c>
      <c r="CK17" s="1198" t="s">
        <v>1161</v>
      </c>
      <c r="CL17" s="2462"/>
      <c r="CM17" s="2460"/>
      <c r="CN17" s="2460"/>
      <c r="CO17" s="2460"/>
      <c r="CP17" s="2460"/>
      <c r="CQ17" s="2460"/>
      <c r="CR17" s="2460"/>
      <c r="CS17" s="2460"/>
      <c r="CT17" s="2460"/>
      <c r="CU17" s="2460"/>
      <c r="CV17" s="2460"/>
      <c r="CW17" s="2460"/>
      <c r="CX17" s="2479"/>
      <c r="CY17" s="1198" t="s">
        <v>1160</v>
      </c>
      <c r="CZ17" s="1198" t="s">
        <v>1161</v>
      </c>
      <c r="DA17" s="1198" t="s">
        <v>1160</v>
      </c>
      <c r="DB17" s="1198" t="s">
        <v>1161</v>
      </c>
      <c r="DC17" s="1198" t="s">
        <v>1160</v>
      </c>
      <c r="DD17" s="1198" t="s">
        <v>1161</v>
      </c>
      <c r="DE17" s="1198" t="s">
        <v>1160</v>
      </c>
      <c r="DF17" s="1198" t="s">
        <v>1161</v>
      </c>
      <c r="DG17" s="1198" t="s">
        <v>1160</v>
      </c>
      <c r="DH17" s="1198" t="s">
        <v>1161</v>
      </c>
      <c r="DI17" s="1198" t="s">
        <v>1160</v>
      </c>
      <c r="DJ17" s="1198" t="s">
        <v>1161</v>
      </c>
      <c r="DK17" s="2462"/>
      <c r="DL17" s="2460"/>
      <c r="DM17" s="2460"/>
      <c r="DN17" s="2460"/>
      <c r="DO17" s="2460"/>
      <c r="DP17" s="2460"/>
      <c r="DQ17" s="2460"/>
      <c r="DR17" s="2460"/>
      <c r="DS17" s="2460"/>
      <c r="DT17" s="2460"/>
      <c r="DU17" s="2460"/>
      <c r="DV17" s="2460"/>
      <c r="DW17" s="2460"/>
      <c r="DX17" s="2460"/>
      <c r="DY17" s="2460"/>
      <c r="DZ17" s="2460"/>
      <c r="EA17" s="2460"/>
      <c r="EB17" s="2460"/>
      <c r="EC17" s="2460"/>
      <c r="ED17" s="2460"/>
      <c r="EE17" s="2460"/>
      <c r="EF17" s="2460"/>
      <c r="EG17" s="2460"/>
      <c r="EH17" s="2460"/>
      <c r="EI17" s="2460"/>
      <c r="EJ17" s="2460"/>
      <c r="EK17" s="2460"/>
      <c r="EL17" s="2460"/>
      <c r="EM17" s="2460"/>
      <c r="EN17" s="2460"/>
      <c r="EO17" s="2460"/>
      <c r="EP17" s="2460"/>
      <c r="EQ17" s="2460"/>
      <c r="ER17" s="2460"/>
      <c r="ES17" s="2460"/>
      <c r="ET17" s="2460"/>
      <c r="EU17" s="2460"/>
      <c r="EV17" s="2460"/>
      <c r="EW17" s="2460"/>
      <c r="EX17" s="2460"/>
      <c r="EY17" s="2460"/>
      <c r="EZ17" s="2460"/>
      <c r="FA17" s="2460"/>
      <c r="FB17" s="2460"/>
      <c r="FC17" s="2460"/>
      <c r="FD17" s="2460"/>
      <c r="FE17" s="2460"/>
      <c r="FF17" s="2460"/>
      <c r="FG17" s="2460"/>
      <c r="FH17" s="2460"/>
      <c r="FI17" s="2460"/>
      <c r="FJ17" s="2460"/>
      <c r="FK17" s="2460"/>
      <c r="FL17" s="2460"/>
      <c r="FM17" s="2460"/>
      <c r="FN17" s="2460"/>
      <c r="FO17" s="2460"/>
      <c r="FP17" s="2460"/>
      <c r="FQ17" s="2460"/>
      <c r="FR17" s="2460"/>
      <c r="FS17" s="2460"/>
      <c r="FT17" s="2460"/>
      <c r="FU17" s="2460"/>
      <c r="FV17" s="2460"/>
      <c r="FW17" s="2475"/>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375</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1020</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 (18.10.2023-31.12.2029)</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1020</v>
      </c>
      <c r="B22" s="947"/>
      <c r="C22" s="932"/>
      <c r="D22" s="932"/>
      <c r="E22" s="1854"/>
      <c r="F22" s="2415">
        <v>1</v>
      </c>
      <c r="G22" s="2588" t="s">
        <v>1014</v>
      </c>
      <c r="H22" s="1217" t="s">
        <v>67</v>
      </c>
      <c r="I22" s="1986"/>
      <c r="J22" s="1218"/>
      <c r="K22" s="1218"/>
      <c r="L22" s="1218"/>
      <c r="M22" s="1218"/>
      <c r="N22" s="1218"/>
      <c r="O22" s="1219"/>
      <c r="P22" s="1219"/>
      <c r="Q22" s="1219"/>
      <c r="R22" s="1219"/>
      <c r="S22" s="1219"/>
      <c r="T22" s="1219"/>
      <c r="U22" s="1219"/>
      <c r="V22" s="1219"/>
      <c r="W22" s="1219"/>
      <c r="X22" s="1219"/>
      <c r="Y22" s="1219"/>
      <c r="Z22" s="1219"/>
      <c r="AA22" s="1219"/>
      <c r="AB22" s="1219"/>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v>24.06</v>
      </c>
      <c r="DF22" s="1219">
        <v>24.06</v>
      </c>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1020</v>
      </c>
      <c r="B23" s="947"/>
      <c r="C23" s="932"/>
      <c r="D23" s="932"/>
      <c r="E23" s="932"/>
      <c r="F23" s="2663"/>
      <c r="G23" s="2664" t="s">
        <v>1162</v>
      </c>
      <c r="H23" s="2665"/>
      <c r="I23" s="2666"/>
      <c r="J23" s="2667"/>
      <c r="K23" s="2668"/>
      <c r="L23" s="2669"/>
      <c r="M23" s="2670"/>
      <c r="N23" s="2671"/>
      <c r="O23" s="2672"/>
      <c r="P23" s="2673"/>
      <c r="Q23" s="2674"/>
      <c r="R23" s="2675"/>
      <c r="S23" s="2676"/>
      <c r="T23" s="2677"/>
      <c r="U23" s="2678"/>
      <c r="V23" s="2679"/>
      <c r="W23" s="2680"/>
      <c r="X23" s="2681"/>
      <c r="Y23" s="2682"/>
      <c r="Z23" s="2683"/>
      <c r="AA23" s="2684"/>
      <c r="AB23" s="2685"/>
      <c r="AC23" s="2686"/>
      <c r="AD23" s="2687"/>
      <c r="AE23" s="2688"/>
      <c r="AF23" s="2689"/>
      <c r="AG23" s="2690"/>
      <c r="AH23" s="2691"/>
      <c r="AI23" s="2692"/>
      <c r="AJ23" s="2693"/>
      <c r="AK23" s="2694"/>
      <c r="AL23" s="2695"/>
      <c r="AM23" s="2696"/>
      <c r="AN23" s="2697"/>
      <c r="AO23" s="2698"/>
      <c r="AP23" s="2699"/>
      <c r="AQ23" s="2700"/>
      <c r="AR23" s="2701"/>
      <c r="AS23" s="2702"/>
      <c r="AT23" s="2703"/>
      <c r="AU23" s="2704"/>
      <c r="AV23" s="2705"/>
      <c r="AW23" s="2706"/>
      <c r="AX23" s="2707"/>
      <c r="AY23" s="2708"/>
      <c r="AZ23" s="2709"/>
      <c r="BA23" s="2710"/>
      <c r="BB23" s="2711"/>
      <c r="BC23" s="2712"/>
      <c r="BD23" s="2713"/>
      <c r="BE23" s="2714"/>
      <c r="BF23" s="2715"/>
      <c r="BG23" s="2716"/>
      <c r="BH23" s="2717"/>
      <c r="BI23" s="2718"/>
      <c r="BJ23" s="2719"/>
      <c r="BK23" s="2720"/>
      <c r="BL23" s="2721"/>
      <c r="BM23" s="2722"/>
      <c r="BN23" s="2723"/>
      <c r="BO23" s="2724"/>
      <c r="BP23" s="2725"/>
      <c r="BQ23" s="2726"/>
      <c r="BR23" s="2727"/>
      <c r="BS23" s="2728"/>
      <c r="BT23" s="2729"/>
      <c r="BU23" s="2730"/>
      <c r="BV23" s="2731"/>
      <c r="BW23" s="2732"/>
      <c r="BX23" s="2733"/>
      <c r="BY23" s="2734"/>
      <c r="BZ23" s="2735"/>
      <c r="CA23" s="2736"/>
      <c r="CB23" s="2737"/>
      <c r="CC23" s="2738"/>
      <c r="CD23" s="2739"/>
      <c r="CE23" s="2740"/>
      <c r="CF23" s="2741"/>
      <c r="CG23" s="2742"/>
      <c r="CH23" s="2743"/>
      <c r="CI23" s="2744"/>
      <c r="CJ23" s="2745"/>
      <c r="CK23" s="2746"/>
      <c r="CL23" s="2747"/>
      <c r="CM23" s="2748"/>
      <c r="CN23" s="2749"/>
      <c r="CO23" s="2750"/>
      <c r="CP23" s="2751"/>
      <c r="CQ23" s="2752"/>
      <c r="CR23" s="2753"/>
      <c r="CS23" s="2754"/>
      <c r="CT23" s="2755"/>
      <c r="CU23" s="2756"/>
      <c r="CV23" s="2757"/>
      <c r="CW23" s="2758"/>
      <c r="CX23" s="2759"/>
      <c r="CY23" s="2760"/>
      <c r="CZ23" s="2761"/>
      <c r="DA23" s="2762"/>
      <c r="DB23" s="2763"/>
      <c r="DC23" s="2764"/>
      <c r="DD23" s="2765"/>
      <c r="DE23" s="2766"/>
      <c r="DF23" s="2767"/>
      <c r="DG23" s="2768"/>
      <c r="DH23" s="2769"/>
      <c r="DI23" s="2770"/>
      <c r="DJ23" s="2771"/>
      <c r="DK23" s="2772"/>
      <c r="DL23" s="2773"/>
      <c r="DM23" s="2774"/>
      <c r="DN23" s="2775"/>
      <c r="DO23" s="2776"/>
      <c r="DP23" s="2777"/>
      <c r="DQ23" s="2778"/>
      <c r="DR23" s="2779"/>
      <c r="DS23" s="2780"/>
      <c r="DT23" s="2781"/>
      <c r="DU23" s="2782"/>
      <c r="DV23" s="2783"/>
      <c r="DW23" s="2784"/>
      <c r="DX23" s="2785"/>
      <c r="DY23" s="2786"/>
      <c r="DZ23" s="2787"/>
      <c r="EA23" s="2788"/>
      <c r="EB23" s="2789"/>
      <c r="EC23" s="2790"/>
      <c r="ED23" s="2791"/>
      <c r="EE23" s="2792"/>
      <c r="EF23" s="2793"/>
      <c r="EG23" s="2794"/>
      <c r="EH23" s="2795"/>
      <c r="EI23" s="2796"/>
      <c r="EJ23" s="2797"/>
      <c r="EK23" s="2798"/>
      <c r="EL23" s="2799"/>
      <c r="EM23" s="2800"/>
      <c r="EN23" s="2801"/>
      <c r="EO23" s="2802"/>
      <c r="EP23" s="2803"/>
      <c r="EQ23" s="2804"/>
      <c r="ER23" s="2805"/>
      <c r="ES23" s="2806"/>
      <c r="ET23" s="2807"/>
      <c r="EU23" s="2808"/>
      <c r="EV23" s="2809"/>
      <c r="EW23" s="2810"/>
      <c r="EX23" s="2811"/>
      <c r="EY23" s="2812"/>
      <c r="EZ23" s="2813"/>
      <c r="FA23" s="2814"/>
      <c r="FB23" s="2815"/>
      <c r="FC23" s="2816"/>
      <c r="FD23" s="2817"/>
      <c r="FE23" s="2818"/>
      <c r="FF23" s="2819"/>
      <c r="FG23" s="2820"/>
      <c r="FH23" s="2821"/>
      <c r="FI23" s="2822"/>
      <c r="FJ23" s="2823"/>
      <c r="FK23" s="2824"/>
      <c r="FL23" s="2825"/>
      <c r="FM23" s="2826"/>
      <c r="FN23" s="2827"/>
      <c r="FO23" s="2828"/>
      <c r="FP23" s="2829"/>
      <c r="FQ23" s="2830"/>
      <c r="FR23" s="2831"/>
      <c r="FS23" s="2832"/>
      <c r="FT23" s="2833"/>
      <c r="FU23" s="2834"/>
      <c r="FV23" s="2835"/>
      <c r="FW23" s="2836"/>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82</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EB2CC-49DE-E204-7328-A0AC21C99F0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2" t="s">
        <v>574</v>
      </c>
      <c r="D2" s="546"/>
      <c r="E2" s="670"/>
      <c r="F2" s="1767"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3"/>
      <c r="F5" s="2263"/>
      <c r="G5" s="2263"/>
      <c r="H5" s="2263"/>
      <c r="I5" s="544"/>
      <c r="S5" s="512">
        <v>38</v>
      </c>
    </row>
    <row customHeight="1" ht="15.75">
      <c r="C6" s="183"/>
      <c r="D6" s="2202" t="str">
        <f>IF(org=0,"Не определено",org)</f>
        <v>Общество с ограниченной ответственностью "Сигнал", г. Серов</v>
      </c>
      <c r="E6" s="2202"/>
      <c r="F6" s="2202"/>
      <c r="G6" s="2202"/>
      <c r="H6" s="2202"/>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117</v>
      </c>
      <c r="S8" s="512">
        <v>1</v>
      </c>
    </row>
    <row customHeight="1" ht="15.75">
      <c r="C9" s="183"/>
      <c r="D9" s="718"/>
      <c r="E9" s="2393" t="s">
        <v>105</v>
      </c>
      <c r="F9" s="2394"/>
      <c r="G9" s="823" t="str">
        <f>IF(G8="","",INDEX(DIFFERENTIATION_UNMERGE_VD,MATCH(G8,DIFFERENTIATION_ID_DIFF,0)))</f>
        <v/>
      </c>
      <c r="H9" s="823" t="str">
        <f>IF(H8="","",INDEX(DIFFERENTIATION_UNMERGE_VD,MATCH(H8,DIFFERENTIATION_ID_DIFF,0)))</f>
        <v>Водоотведение</v>
      </c>
      <c r="I9" s="2153" t="s">
        <v>300</v>
      </c>
      <c r="S9" s="512">
        <v>15</v>
      </c>
    </row>
    <row s="1642" customFormat="1" customHeight="1" ht="15.75">
      <c r="A10" s="766"/>
      <c r="C10" s="183"/>
      <c r="D10" s="718"/>
      <c r="E10" s="2393" t="s">
        <v>561</v>
      </c>
      <c r="F10" s="2394"/>
      <c r="G10" s="823" t="str">
        <f>IF(G8="","",INDEX(DIFFERENTIATION_UNMERGE_AREA,MATCH(G8,DIFFERENTIATION_ID_DIFF,0)))</f>
        <v/>
      </c>
      <c r="H10" s="823" t="str">
        <f>IF(H8="","",INDEX(DIFFERENTIATION_UNMERGE_AREA,MATCH(H8,DIFFERENTIATION_ID_DIFF,0)))</f>
        <v>Территория 1</v>
      </c>
      <c r="I10" s="2153"/>
      <c r="R10" s="682"/>
      <c r="S10" s="765">
        <v>15</v>
      </c>
    </row>
    <row s="1642" customFormat="1" customHeight="1" ht="15.75">
      <c r="A11" s="766"/>
      <c r="C11" s="183"/>
      <c r="D11" s="718"/>
      <c r="E11" s="2393" t="s">
        <v>562</v>
      </c>
      <c r="F11" s="2394"/>
      <c r="G11" s="823" t="str">
        <f>IF(G8="","",INDEX(DIFFERENTIATION_UNMERGE_SYSTEM,MATCH(G8,DIFFERENTIATION_ID_DIFF,0)))</f>
        <v/>
      </c>
      <c r="H11" s="823" t="str">
        <f>IF(H8="","",INDEX(DIFFERENTIATION_UNMERGE_SYSTEM,MATCH(H8,DIFFERENTIATION_ID_DIFF,0)))</f>
        <v>без дифференциации</v>
      </c>
      <c r="I11" s="2153"/>
      <c r="R11" s="682"/>
      <c r="S11" s="765">
        <v>15</v>
      </c>
    </row>
    <row s="1642" customFormat="1" customHeight="1" ht="15.75">
      <c r="A12" s="766"/>
      <c r="C12" s="183"/>
      <c r="D12" s="2395" t="s">
        <v>299</v>
      </c>
      <c r="E12" s="2396"/>
      <c r="F12" s="2396"/>
      <c r="G12" s="894"/>
      <c r="H12" s="894"/>
      <c r="I12" s="2153"/>
      <c r="R12" s="682"/>
      <c r="S12" s="765">
        <v>15</v>
      </c>
    </row>
    <row customHeight="1" ht="35.699999999999996">
      <c r="C13" s="183"/>
      <c r="D13" s="768" t="s">
        <v>88</v>
      </c>
      <c r="E13" s="767" t="s">
        <v>301</v>
      </c>
      <c r="F13" s="767" t="s">
        <v>563</v>
      </c>
      <c r="G13" s="815" t="s">
        <v>302</v>
      </c>
      <c r="H13" s="761" t="s">
        <v>302</v>
      </c>
      <c r="I13" s="2153"/>
      <c r="S13" s="512">
        <v>34</v>
      </c>
    </row>
    <row customHeight="1" ht="15" hidden="1">
      <c r="C14" s="183"/>
      <c r="D14" s="600" t="s">
        <v>109</v>
      </c>
      <c r="E14" s="600" t="s">
        <v>110</v>
      </c>
      <c r="F14" s="600" t="s">
        <v>90</v>
      </c>
      <c r="G14" s="666" t="str">
        <f>G1&amp;".1"</f>
        <v>.1</v>
      </c>
      <c r="H14" s="666" t="str">
        <f>H1&amp;".1"</f>
        <v>4.1</v>
      </c>
      <c r="I14" s="296"/>
      <c r="S14" s="512">
        <v>0</v>
      </c>
    </row>
    <row customHeight="1" ht="15.75">
      <c r="A15" s="512"/>
      <c r="C15" s="533"/>
      <c r="D15" s="528">
        <v>1</v>
      </c>
      <c r="E15" s="1934" t="str">
        <f>TP_P_A</f>
        <v>Количество поданных заявлений </v>
      </c>
      <c r="F15" s="528" t="s">
        <v>1163</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2">
        <v>15</v>
      </c>
    </row>
    <row customHeight="1" ht="15.75">
      <c r="A16" s="512"/>
      <c r="C16" s="533"/>
      <c r="D16" s="528">
        <v>2</v>
      </c>
      <c r="E16" s="1934" t="str">
        <f>TP_P_B</f>
        <v>Количество исполненных заявлений </v>
      </c>
      <c r="F16" s="528" t="s">
        <v>1163</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2">
        <v>15</v>
      </c>
    </row>
    <row customHeight="1" ht="77.7">
      <c r="A17" s="512"/>
      <c r="C17" s="533"/>
      <c r="D17" s="528">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1163</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2">
        <v>74</v>
      </c>
    </row>
    <row customHeight="1" ht="54.75">
      <c r="A18" s="512"/>
      <c r="C18" s="533"/>
      <c r="D18" s="528">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8" t="s">
        <v>305</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2">
        <v>57</v>
      </c>
    </row>
    <row customHeight="1" ht="15" hidden="1">
      <c r="D20" s="516" t="s">
        <v>1164</v>
      </c>
      <c r="E20" s="695"/>
      <c r="F20" s="516"/>
      <c r="G20" s="516"/>
      <c r="H20" s="516"/>
      <c r="I20" s="1769"/>
      <c r="S20" s="512">
        <v>0</v>
      </c>
    </row>
    <row customHeight="1" ht="29.25">
      <c r="C21" s="458"/>
      <c r="D21" s="546" t="s">
        <v>312</v>
      </c>
      <c r="E21" s="677"/>
      <c r="F21" s="1767" t="str">
        <f>IF(TEMPLATE_SPHERE="HEAT","Гкал/час","тыс. куб. м/сутки")</f>
        <v>тыс. куб. м/сутки</v>
      </c>
      <c r="G21" s="687"/>
      <c r="H21" s="687"/>
      <c r="I21" s="219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2">
        <v>28</v>
      </c>
    </row>
    <row customHeight="1" ht="15.75">
      <c r="A22" s="512"/>
      <c r="C22" s="512"/>
      <c r="D22" s="354"/>
      <c r="E22" s="587" t="s">
        <v>1165</v>
      </c>
      <c r="F22" s="579"/>
      <c r="G22" s="579"/>
      <c r="H22" s="579"/>
      <c r="I22" s="2197"/>
      <c r="R22" s="512"/>
      <c r="S22" s="512">
        <v>15</v>
      </c>
    </row>
    <row customHeight="1" ht="22.5" hidden="1">
      <c r="A23" s="456" t="s">
        <v>82</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2999-A35D-CAA1-4A56-7CB8D4640C1D}"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81"/>
      <c r="F5" s="2481"/>
      <c r="G5" s="2482"/>
      <c r="Q5" s="90">
        <v>28</v>
      </c>
    </row>
    <row s="1642" customFormat="1" customHeight="1" ht="18.75">
      <c r="A6" s="889"/>
      <c r="B6" s="424"/>
      <c r="C6" s="383"/>
      <c r="D6" s="2483" t="str">
        <f>IF(org=0,"Не определено",org)</f>
        <v>Общество с ограниченной ответственностью "Сигнал", г. Серов</v>
      </c>
      <c r="E6" s="2484"/>
      <c r="F6" s="2484"/>
      <c r="G6" s="2485"/>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35" t="s">
        <v>299</v>
      </c>
      <c r="E9" s="2235"/>
      <c r="F9" s="2235"/>
      <c r="G9" s="2415" t="s">
        <v>300</v>
      </c>
      <c r="Q9" s="90">
        <v>14</v>
      </c>
    </row>
    <row customHeight="1" ht="24">
      <c r="C10" s="103"/>
      <c r="D10" s="112" t="s">
        <v>88</v>
      </c>
      <c r="E10" s="115" t="s">
        <v>301</v>
      </c>
      <c r="F10" s="115" t="s">
        <v>389</v>
      </c>
      <c r="G10" s="2415"/>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5" t="s">
        <v>305</v>
      </c>
      <c r="G12" s="158"/>
      <c r="Q12" s="90">
        <v>62</v>
      </c>
    </row>
    <row customHeight="1" ht="24">
      <c r="A13" s="199"/>
      <c r="C13" s="103"/>
      <c r="D13" s="154" t="s">
        <v>1069</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305</v>
      </c>
      <c r="G13" s="158"/>
      <c r="Q13" s="90">
        <v>23</v>
      </c>
    </row>
    <row customHeight="1" ht="14.699999999999998">
      <c r="A14" s="199"/>
      <c r="C14" s="103"/>
      <c r="D14" s="154" t="s">
        <v>1105</v>
      </c>
      <c r="E14" s="202"/>
      <c r="F14" s="220"/>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1166</v>
      </c>
      <c r="F15" s="208"/>
      <c r="G15" s="2197"/>
      <c r="Q15" s="90">
        <v>15</v>
      </c>
    </row>
    <row customHeight="1" ht="14.699999999999998">
      <c r="A16" s="199"/>
      <c r="C16" s="103"/>
      <c r="D16" s="154" t="s">
        <v>1071</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5" t="s">
        <v>305</v>
      </c>
      <c r="G16" s="344"/>
      <c r="Q16" s="90">
        <v>14</v>
      </c>
    </row>
    <row customHeight="1" ht="14.699999999999998">
      <c r="A17" s="199"/>
      <c r="C17" s="103"/>
      <c r="D17" s="154" t="s">
        <v>1113</v>
      </c>
      <c r="E17" s="202"/>
      <c r="F17" s="392"/>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0">
        <v>14</v>
      </c>
    </row>
    <row s="1642" customFormat="1" customHeight="1" ht="22.049999999999997">
      <c r="A18" s="350"/>
      <c r="B18" s="153"/>
      <c r="C18" s="314"/>
      <c r="D18" s="354"/>
      <c r="E18" s="356" t="s">
        <v>1167</v>
      </c>
      <c r="F18" s="345"/>
      <c r="G18" s="2197"/>
      <c r="I18" s="357"/>
      <c r="J18" s="357"/>
      <c r="Q18" s="349">
        <v>21</v>
      </c>
    </row>
    <row s="1642" customFormat="1" customHeight="1" ht="256.5" hidden="1">
      <c r="A19" s="350"/>
      <c r="B19" s="424"/>
      <c r="C19" s="383"/>
      <c r="D19" s="891" t="s">
        <v>1073</v>
      </c>
      <c r="E19" s="890" t="s">
        <v>1168</v>
      </c>
      <c r="F19" s="392"/>
      <c r="G19" s="344" t="s">
        <v>1169</v>
      </c>
      <c r="I19" s="507"/>
      <c r="J19" s="507"/>
      <c r="Q19" s="765">
        <v>0</v>
      </c>
    </row>
    <row s="1642" customFormat="1" customHeight="1" ht="14.699999999999998">
      <c r="A20" s="350"/>
      <c r="B20" s="153"/>
      <c r="C20" s="314"/>
      <c r="D20" s="892">
        <v>2</v>
      </c>
      <c r="E20" s="337" t="s">
        <v>1170</v>
      </c>
      <c r="F20" s="205" t="s">
        <v>305</v>
      </c>
      <c r="G20" s="344"/>
      <c r="I20" s="357"/>
      <c r="J20" s="357"/>
      <c r="Q20" s="349">
        <v>14</v>
      </c>
    </row>
    <row s="1642" customFormat="1" customHeight="1" ht="18.75" hidden="1">
      <c r="A21" s="350"/>
      <c r="B21" s="153"/>
      <c r="C21" s="314"/>
      <c r="D21" s="340" t="s">
        <v>646</v>
      </c>
      <c r="E21" s="339"/>
      <c r="F21" s="338"/>
      <c r="G21" s="348"/>
      <c r="H21" s="341"/>
      <c r="I21" s="357"/>
      <c r="J21" s="357"/>
      <c r="Q21" s="349">
        <v>0</v>
      </c>
    </row>
    <row customHeight="1" ht="15.75">
      <c r="A22" s="199"/>
      <c r="C22" s="103"/>
      <c r="D22" s="116"/>
      <c r="E22" s="210" t="s">
        <v>321</v>
      </c>
      <c r="F22" s="345"/>
      <c r="G22" s="346"/>
      <c r="Q22" s="90">
        <v>15</v>
      </c>
    </row>
    <row s="1642" customFormat="1" customHeight="1" ht="22.5" hidden="1">
      <c r="A23" s="350"/>
      <c r="B23" s="1167"/>
      <c r="C23" s="383"/>
      <c r="D23" s="1679" t="s">
        <v>110</v>
      </c>
      <c r="E23" s="204" t="s">
        <v>1171</v>
      </c>
      <c r="F23" s="1676" t="s">
        <v>305</v>
      </c>
      <c r="G23" s="352"/>
      <c r="I23" s="1631"/>
      <c r="J23" s="1631"/>
      <c r="Q23" s="1638">
        <v>0</v>
      </c>
    </row>
    <row s="1642" customFormat="1" customHeight="1" ht="14.25" hidden="1">
      <c r="A24" s="350"/>
      <c r="B24" s="1167"/>
      <c r="C24" s="383"/>
      <c r="D24" s="1679" t="s">
        <v>718</v>
      </c>
      <c r="E24" s="1678" t="s">
        <v>1172</v>
      </c>
      <c r="F24" s="1676" t="s">
        <v>305</v>
      </c>
      <c r="G24" s="344"/>
      <c r="I24" s="1631"/>
      <c r="J24" s="1631"/>
      <c r="Q24" s="1638">
        <v>0</v>
      </c>
    </row>
    <row s="1642" customFormat="1" customHeight="1" ht="14.25" hidden="1">
      <c r="A25" s="350"/>
      <c r="B25" s="1167"/>
      <c r="C25" s="383"/>
      <c r="D25" s="1679" t="s">
        <v>721</v>
      </c>
      <c r="E25" s="202"/>
      <c r="F25" s="392"/>
      <c r="G25" s="2195" t="s">
        <v>1173</v>
      </c>
      <c r="I25" s="1631"/>
      <c r="J25" s="1631"/>
      <c r="Q25" s="1638">
        <v>0</v>
      </c>
    </row>
    <row s="1642" customFormat="1" customHeight="1" ht="14.25" hidden="1">
      <c r="A26" s="350"/>
      <c r="B26" s="1167"/>
      <c r="C26" s="383"/>
      <c r="D26" s="354"/>
      <c r="E26" s="356" t="s">
        <v>1174</v>
      </c>
      <c r="F26" s="345"/>
      <c r="G26" s="2197"/>
      <c r="I26" s="1631"/>
      <c r="J26" s="1631"/>
      <c r="Q26" s="1638">
        <v>0</v>
      </c>
    </row>
    <row s="1642" customFormat="1" customHeight="1" ht="33.75" hidden="1">
      <c r="A27" s="350"/>
      <c r="B27" s="1373"/>
      <c r="C27" s="383"/>
      <c r="D27" s="2083" t="s">
        <v>90</v>
      </c>
      <c r="E27" s="204" t="s">
        <v>1175</v>
      </c>
      <c r="F27" s="2084" t="s">
        <v>305</v>
      </c>
      <c r="G27" s="1532"/>
      <c r="I27" s="1631"/>
      <c r="J27" s="1631"/>
      <c r="Q27" s="1638">
        <v>0</v>
      </c>
    </row>
    <row s="1642" customFormat="1" customHeight="1" ht="22.5" hidden="1">
      <c r="A28" s="350"/>
      <c r="B28" s="1373"/>
      <c r="C28" s="383"/>
      <c r="D28" s="2083" t="s">
        <v>323</v>
      </c>
      <c r="E28" s="2085" t="s">
        <v>1176</v>
      </c>
      <c r="F28" s="2084" t="s">
        <v>305</v>
      </c>
      <c r="G28" s="344"/>
      <c r="I28" s="1631"/>
      <c r="J28" s="1631"/>
      <c r="Q28" s="1638">
        <v>0</v>
      </c>
    </row>
    <row s="1642" customFormat="1" customHeight="1" ht="14.25" hidden="1">
      <c r="A29" s="350"/>
      <c r="B29" s="1373"/>
      <c r="C29" s="383"/>
      <c r="D29" s="2083" t="s">
        <v>325</v>
      </c>
      <c r="E29" s="2097"/>
      <c r="F29" s="669"/>
      <c r="G29" s="2195" t="s">
        <v>1177</v>
      </c>
      <c r="I29" s="1631"/>
      <c r="J29" s="1631"/>
      <c r="Q29" s="1638">
        <v>0</v>
      </c>
    </row>
    <row s="1642" customFormat="1" customHeight="1" ht="14.25" hidden="1">
      <c r="A30" s="350"/>
      <c r="B30" s="1373"/>
      <c r="C30" s="383"/>
      <c r="D30" s="354"/>
      <c r="E30" s="578" t="s">
        <v>1174</v>
      </c>
      <c r="F30" s="345"/>
      <c r="G30" s="2197"/>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82</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916C9-C00D-4BD6-299B-B0F8EAAF42D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574</v>
      </c>
      <c r="D2" s="1679"/>
      <c r="E2" s="206"/>
      <c r="F2" s="1676"/>
      <c r="G2" s="1676" t="s">
        <v>305</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574</v>
      </c>
      <c r="D4" s="1679"/>
      <c r="E4" s="212" t="s">
        <v>1178</v>
      </c>
      <c r="F4" s="1676"/>
      <c r="G4" s="264"/>
      <c r="H4" s="1676" t="s">
        <v>305</v>
      </c>
      <c r="K4" s="1631"/>
      <c r="L4" s="1631"/>
      <c r="M4" s="1638">
        <v>0</v>
      </c>
    </row>
    <row s="1642" customFormat="1" customHeight="1" ht="14.25" hidden="1">
      <c r="A5" s="1369"/>
      <c r="B5" s="1167"/>
      <c r="C5" s="351"/>
      <c r="K5" s="1631"/>
      <c r="L5" s="1631"/>
      <c r="M5" s="1638">
        <v>0</v>
      </c>
    </row>
    <row s="1642" customFormat="1" customHeight="1" ht="18.75" hidden="1">
      <c r="A6" s="1689"/>
      <c r="B6" s="1167"/>
      <c r="C6" s="1736" t="s">
        <v>574</v>
      </c>
      <c r="D6" s="1679"/>
      <c r="E6" s="213" t="s">
        <v>1179</v>
      </c>
      <c r="F6" s="1676"/>
      <c r="G6" s="264"/>
      <c r="H6" s="1676" t="s">
        <v>305</v>
      </c>
      <c r="K6" s="1631"/>
      <c r="L6" s="1631"/>
      <c r="M6" s="1638">
        <v>0</v>
      </c>
    </row>
    <row s="1642" customFormat="1" customHeight="1" ht="14.25" hidden="1">
      <c r="A7" s="1369"/>
      <c r="B7" s="1167"/>
      <c r="C7" s="351"/>
      <c r="K7" s="1631"/>
      <c r="L7" s="1631"/>
      <c r="M7" s="1638">
        <v>0</v>
      </c>
    </row>
    <row s="1642" customFormat="1" customHeight="1" ht="18.75" hidden="1">
      <c r="A8" s="1689"/>
      <c r="B8" s="1167"/>
      <c r="C8" s="1736" t="s">
        <v>574</v>
      </c>
      <c r="D8" s="1679"/>
      <c r="E8" s="213" t="s">
        <v>1180</v>
      </c>
      <c r="F8" s="1676"/>
      <c r="G8" s="264"/>
      <c r="H8" s="1676" t="s">
        <v>305</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574</v>
      </c>
      <c r="D10" s="1679"/>
      <c r="E10" s="213" t="s">
        <v>1181</v>
      </c>
      <c r="F10" s="1676"/>
      <c r="G10" s="1680"/>
      <c r="H10" s="1676" t="s">
        <v>305</v>
      </c>
      <c r="K10" s="1631"/>
      <c r="L10" s="1631" t="s">
        <v>1182</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81"/>
      <c r="F14" s="2481"/>
      <c r="G14" s="2481"/>
      <c r="H14" s="2482"/>
      <c r="J14" s="1638"/>
      <c r="M14" s="90">
        <v>28</v>
      </c>
    </row>
    <row s="1642" customFormat="1" customHeight="1" ht="14.699999999999998">
      <c r="A15" s="1369"/>
      <c r="B15" s="1167"/>
      <c r="C15" s="383"/>
      <c r="D15" s="2483" t="str">
        <f>IF(org=0,"Не определено",org)</f>
        <v>Общество с ограниченной ответственностью "Сигнал", г. Серов</v>
      </c>
      <c r="E15" s="2484"/>
      <c r="F15" s="2484"/>
      <c r="G15" s="2484"/>
      <c r="H15" s="2485"/>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35" t="s">
        <v>299</v>
      </c>
      <c r="E18" s="2235"/>
      <c r="F18" s="2235"/>
      <c r="G18" s="2235"/>
      <c r="H18" s="2235"/>
      <c r="I18" s="2415" t="s">
        <v>300</v>
      </c>
      <c r="M18" s="90">
        <v>21</v>
      </c>
    </row>
    <row customHeight="1" ht="22.049999999999997">
      <c r="C19" s="103"/>
      <c r="D19" s="112" t="s">
        <v>88</v>
      </c>
      <c r="E19" s="115" t="s">
        <v>301</v>
      </c>
      <c r="F19" s="115"/>
      <c r="G19" s="115" t="s">
        <v>302</v>
      </c>
      <c r="H19" s="115" t="s">
        <v>389</v>
      </c>
      <c r="I19" s="2415"/>
      <c r="M19" s="90">
        <v>21</v>
      </c>
    </row>
    <row customHeight="1" ht="12" hidden="1">
      <c r="C20" s="103"/>
      <c r="D20" s="94"/>
      <c r="E20" s="94"/>
      <c r="F20" s="94"/>
      <c r="G20" s="94"/>
      <c r="H20" s="94"/>
      <c r="I20" s="94"/>
      <c r="M20" s="90">
        <v>0</v>
      </c>
    </row>
    <row customHeight="1" ht="14.699999999999998">
      <c r="A21" s="1689"/>
      <c r="C21" s="103"/>
      <c r="D21" s="154">
        <v>1</v>
      </c>
      <c r="E21" s="2487" t="s">
        <v>1183</v>
      </c>
      <c r="F21" s="2487"/>
      <c r="G21" s="2487"/>
      <c r="H21" s="2487"/>
      <c r="I21" s="215"/>
      <c r="M21" s="90">
        <v>14</v>
      </c>
    </row>
    <row customHeight="1" ht="21">
      <c r="A22" s="1689"/>
      <c r="C22" s="103"/>
      <c r="D22" s="154" t="s">
        <v>1069</v>
      </c>
      <c r="E22" s="201" t="s">
        <v>1184</v>
      </c>
      <c r="F22" s="205"/>
      <c r="G22" s="1743"/>
      <c r="H22" s="205" t="s">
        <v>305</v>
      </c>
      <c r="I22" s="158" t="s">
        <v>1185</v>
      </c>
      <c r="M22" s="90">
        <v>20</v>
      </c>
    </row>
    <row customHeight="1" ht="60">
      <c r="A23" s="1689"/>
      <c r="C23" s="103"/>
      <c r="D23" s="154" t="s">
        <v>1071</v>
      </c>
      <c r="E23" s="201" t="s">
        <v>1186</v>
      </c>
      <c r="F23" s="205"/>
      <c r="G23" s="264"/>
      <c r="H23" s="220"/>
      <c r="I23" s="265" t="s">
        <v>1187</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5"/>
      <c r="G24" s="205" t="s">
        <v>305</v>
      </c>
      <c r="H24" s="220"/>
      <c r="I24" s="266" t="s">
        <v>641</v>
      </c>
      <c r="M24" s="90">
        <v>14</v>
      </c>
    </row>
    <row customHeight="1" ht="48.29999999999999">
      <c r="A25" s="1689"/>
      <c r="C25" s="103"/>
      <c r="D25" s="154">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6"/>
      <c r="G25" s="2486"/>
      <c r="H25" s="2486"/>
      <c r="I25" s="263"/>
      <c r="M25" s="90">
        <v>46</v>
      </c>
    </row>
    <row customHeight="1" ht="14.699999999999998">
      <c r="A26" s="1689"/>
      <c r="C26" s="103"/>
      <c r="D26" s="154" t="s">
        <v>323</v>
      </c>
      <c r="E26" s="206"/>
      <c r="F26" s="205"/>
      <c r="G26" s="205" t="s">
        <v>305</v>
      </c>
      <c r="H26" s="220"/>
      <c r="I26" s="2195" t="s">
        <v>1188</v>
      </c>
      <c r="M26" s="90">
        <v>14</v>
      </c>
    </row>
    <row customHeight="1" ht="15.75">
      <c r="A27" s="1689" t="s">
        <v>109</v>
      </c>
      <c r="C27" s="103"/>
      <c r="D27" s="116"/>
      <c r="E27" s="210" t="s">
        <v>321</v>
      </c>
      <c r="F27" s="211"/>
      <c r="G27" s="211"/>
      <c r="H27" s="208"/>
      <c r="I27" s="2197"/>
      <c r="M27" s="90">
        <v>15</v>
      </c>
    </row>
    <row customHeight="1" ht="39.75">
      <c r="A28" s="1689"/>
      <c r="B28" s="153">
        <v>3</v>
      </c>
      <c r="C28" s="103"/>
      <c r="D28" s="154">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6"/>
      <c r="G28" s="2486"/>
      <c r="H28" s="2486"/>
      <c r="I28" s="263"/>
      <c r="M28" s="90">
        <v>38</v>
      </c>
    </row>
    <row customHeight="1" ht="21">
      <c r="A29" s="1689"/>
      <c r="C29" s="103"/>
      <c r="D29" s="154" t="s">
        <v>769</v>
      </c>
      <c r="E29" s="212" t="s">
        <v>1178</v>
      </c>
      <c r="F29" s="205"/>
      <c r="G29" s="264"/>
      <c r="H29" s="205" t="s">
        <v>305</v>
      </c>
      <c r="I29" s="2195" t="s">
        <v>1189</v>
      </c>
      <c r="M29" s="90">
        <v>20</v>
      </c>
    </row>
    <row customHeight="1" ht="15.75">
      <c r="A30" s="1689" t="s">
        <v>110</v>
      </c>
      <c r="C30" s="103"/>
      <c r="D30" s="116"/>
      <c r="E30" s="210" t="s">
        <v>321</v>
      </c>
      <c r="F30" s="211"/>
      <c r="G30" s="211"/>
      <c r="H30" s="208"/>
      <c r="I30" s="2197"/>
      <c r="M30" s="90">
        <v>15</v>
      </c>
    </row>
    <row customHeight="1" ht="31.5">
      <c r="A31" s="1689"/>
      <c r="B31" s="153">
        <v>3</v>
      </c>
      <c r="C31" s="103"/>
      <c r="D31" s="154">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6"/>
      <c r="G31" s="2486"/>
      <c r="H31" s="2486"/>
      <c r="I31" s="263"/>
      <c r="M31" s="90">
        <v>30</v>
      </c>
    </row>
    <row customHeight="1" ht="27.299999999999997">
      <c r="A32" s="1689"/>
      <c r="C32" s="103"/>
      <c r="D32" s="154" t="s">
        <v>312</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9"/>
      <c r="G32" s="2429"/>
      <c r="H32" s="2429"/>
      <c r="I32" s="263"/>
      <c r="M32" s="90">
        <v>26</v>
      </c>
    </row>
    <row customHeight="1" ht="14.699999999999998">
      <c r="A33" s="1689"/>
      <c r="C33" s="103"/>
      <c r="D33" s="154" t="s">
        <v>1190</v>
      </c>
      <c r="E33" s="213" t="s">
        <v>1179</v>
      </c>
      <c r="F33" s="205"/>
      <c r="G33" s="264"/>
      <c r="H33" s="205" t="s">
        <v>305</v>
      </c>
      <c r="I33" s="2195" t="s">
        <v>1191</v>
      </c>
      <c r="M33" s="90">
        <v>14</v>
      </c>
    </row>
    <row customHeight="1" ht="15.75">
      <c r="A34" s="1689" t="s">
        <v>90</v>
      </c>
      <c r="C34" s="103"/>
      <c r="D34" s="116"/>
      <c r="E34" s="211" t="s">
        <v>321</v>
      </c>
      <c r="F34" s="207"/>
      <c r="G34" s="207"/>
      <c r="H34" s="208"/>
      <c r="I34" s="2197"/>
      <c r="M34" s="90">
        <v>15</v>
      </c>
    </row>
    <row customHeight="1" ht="25.2">
      <c r="A35" s="1689"/>
      <c r="C35" s="103"/>
      <c r="D35" s="154" t="s">
        <v>909</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9"/>
      <c r="G35" s="2429"/>
      <c r="H35" s="2429"/>
      <c r="I35" s="263"/>
      <c r="M35" s="90">
        <v>24</v>
      </c>
    </row>
    <row customHeight="1" ht="14.699999999999998">
      <c r="A36" s="1689"/>
      <c r="C36" s="103"/>
      <c r="D36" s="154" t="s">
        <v>1192</v>
      </c>
      <c r="E36" s="213" t="s">
        <v>1180</v>
      </c>
      <c r="F36" s="205"/>
      <c r="G36" s="264"/>
      <c r="H36" s="205" t="s">
        <v>305</v>
      </c>
      <c r="I36" s="2169" t="s">
        <v>1193</v>
      </c>
      <c r="M36" s="90">
        <v>14</v>
      </c>
    </row>
    <row customHeight="1" ht="15.75">
      <c r="A37" s="1689" t="s">
        <v>91</v>
      </c>
      <c r="C37" s="103"/>
      <c r="D37" s="116"/>
      <c r="E37" s="211" t="s">
        <v>321</v>
      </c>
      <c r="F37" s="207"/>
      <c r="G37" s="207"/>
      <c r="H37" s="208"/>
      <c r="I37" s="2169"/>
      <c r="M37" s="90">
        <v>15</v>
      </c>
    </row>
    <row customHeight="1" ht="27.299999999999997">
      <c r="A38" s="1689"/>
      <c r="C38" s="103"/>
      <c r="D38" s="154" t="s">
        <v>910</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9"/>
      <c r="G38" s="2429"/>
      <c r="H38" s="2429"/>
      <c r="I38" s="263"/>
      <c r="M38" s="90">
        <v>26</v>
      </c>
    </row>
    <row customHeight="1" ht="14.699999999999998">
      <c r="A39" s="1689"/>
      <c r="C39" s="103"/>
      <c r="D39" s="154" t="s">
        <v>911</v>
      </c>
      <c r="E39" s="213" t="s">
        <v>1181</v>
      </c>
      <c r="F39" s="205"/>
      <c r="G39" s="214"/>
      <c r="H39" s="205" t="s">
        <v>305</v>
      </c>
      <c r="I39" s="2195" t="s">
        <v>1194</v>
      </c>
      <c r="L39" s="162" t="s">
        <v>1182</v>
      </c>
      <c r="M39" s="90">
        <v>14</v>
      </c>
    </row>
    <row customHeight="1" ht="15.75">
      <c r="A40" s="1689" t="s">
        <v>111</v>
      </c>
      <c r="C40" s="103"/>
      <c r="D40" s="116"/>
      <c r="E40" s="211" t="s">
        <v>321</v>
      </c>
      <c r="F40" s="207"/>
      <c r="G40" s="207"/>
      <c r="H40" s="208"/>
      <c r="I40" s="2197"/>
      <c r="M40" s="90">
        <v>15</v>
      </c>
    </row>
    <row s="1829" customFormat="1" customHeight="1" ht="3">
      <c r="A41" s="1689"/>
      <c r="K41" s="203"/>
      <c r="L41" s="203"/>
      <c r="M41" s="147">
        <v>3</v>
      </c>
    </row>
    <row customHeight="1" ht="26.25">
      <c r="D42" s="1687" t="s">
        <v>831</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11"/>
      <c r="G42" s="2311"/>
      <c r="H42" s="2311"/>
      <c r="I42" s="2311"/>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7C582-0CFF-2008-D784-27A2336210D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156</v>
      </c>
      <c r="B2" s="1786" t="s">
        <v>157</v>
      </c>
      <c r="C2" s="376"/>
      <c r="D2" s="351"/>
      <c r="E2" s="1038"/>
      <c r="F2" s="1038"/>
      <c r="G2" s="2453" t="str">
        <f>INDEX(PT_DIFFERENTIATION_NTAR,MATCH(B2,PT_DIFFERENTIATION_NTAR_ID,0))</f>
        <v/>
      </c>
      <c r="H2" s="1868"/>
      <c r="I2" s="1745"/>
      <c r="J2" s="1779"/>
      <c r="K2" s="1869"/>
      <c r="L2" s="1868" t="s">
        <v>305</v>
      </c>
      <c r="M2" s="1879"/>
      <c r="N2" s="341"/>
      <c r="O2" s="1631"/>
      <c r="P2" s="1631"/>
      <c r="AH2" s="1638">
        <v>0</v>
      </c>
    </row>
    <row s="1642" customFormat="1" customHeight="1" ht="18.75" hidden="1">
      <c r="A3" s="1786"/>
      <c r="B3" s="1786"/>
      <c r="C3" s="376" t="s">
        <v>1195</v>
      </c>
      <c r="D3" s="351"/>
      <c r="E3" s="1038"/>
      <c r="F3" s="1038"/>
      <c r="G3" s="2453"/>
      <c r="H3" s="1507"/>
      <c r="I3" s="658" t="s">
        <v>1196</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156</v>
      </c>
      <c r="B5" s="1786" t="s">
        <v>157</v>
      </c>
      <c r="C5" s="376"/>
      <c r="D5" s="351"/>
      <c r="E5" s="1038"/>
      <c r="F5" s="1038"/>
      <c r="G5" s="2453" t="str">
        <f>INDEX(PT_DIFFERENTIATION_NTAR,MATCH(B5,PT_DIFFERENTIATION_NTAR_ID,0))</f>
        <v/>
      </c>
      <c r="H5" s="1868"/>
      <c r="I5" s="1745"/>
      <c r="J5" s="1779"/>
      <c r="K5" s="1784"/>
      <c r="L5" s="1868" t="s">
        <v>305</v>
      </c>
      <c r="M5" s="1879"/>
      <c r="N5" s="341"/>
      <c r="O5" s="1631"/>
      <c r="P5" s="1631"/>
      <c r="AH5" s="1638">
        <v>0</v>
      </c>
    </row>
    <row s="1642" customFormat="1" customHeight="1" ht="18.75" hidden="1">
      <c r="A6" s="1786"/>
      <c r="B6" s="1786"/>
      <c r="C6" s="376" t="s">
        <v>1197</v>
      </c>
      <c r="D6" s="351"/>
      <c r="E6" s="1038"/>
      <c r="F6" s="1038"/>
      <c r="G6" s="2453"/>
      <c r="H6" s="1507"/>
      <c r="I6" s="658" t="s">
        <v>1196</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305</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305</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91"/>
      <c r="G14" s="2491"/>
      <c r="H14" s="2491"/>
      <c r="I14" s="2491"/>
      <c r="J14" s="2491"/>
      <c r="K14" s="2491"/>
      <c r="L14" s="2491"/>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35" t="s">
        <v>299</v>
      </c>
      <c r="F19" s="2235"/>
      <c r="G19" s="2235"/>
      <c r="H19" s="2235"/>
      <c r="I19" s="2235"/>
      <c r="J19" s="2235"/>
      <c r="K19" s="2235"/>
      <c r="L19" s="2235"/>
      <c r="M19" s="2415" t="s">
        <v>300</v>
      </c>
      <c r="AH19" s="381">
        <v>21</v>
      </c>
    </row>
    <row customHeight="1" ht="22.049999999999997">
      <c r="D20" s="383"/>
      <c r="E20" s="2303" t="s">
        <v>88</v>
      </c>
      <c r="F20" s="2250" t="s">
        <v>123</v>
      </c>
      <c r="G20" s="2250" t="s">
        <v>124</v>
      </c>
      <c r="H20" s="2412" t="s">
        <v>1198</v>
      </c>
      <c r="I20" s="2413"/>
      <c r="J20" s="2459"/>
      <c r="K20" s="2250" t="s">
        <v>302</v>
      </c>
      <c r="L20" s="2250" t="s">
        <v>389</v>
      </c>
      <c r="M20" s="2415"/>
      <c r="AH20" s="381">
        <v>21</v>
      </c>
    </row>
    <row customHeight="1" ht="22.049999999999997">
      <c r="D21" s="383"/>
      <c r="E21" s="2305"/>
      <c r="F21" s="2251"/>
      <c r="G21" s="2251"/>
      <c r="H21" s="2244" t="s">
        <v>1199</v>
      </c>
      <c r="I21" s="2246"/>
      <c r="J21" s="115" t="s">
        <v>1200</v>
      </c>
      <c r="K21" s="2251"/>
      <c r="L21" s="2251"/>
      <c r="M21" s="2415"/>
      <c r="AH21" s="381">
        <v>21</v>
      </c>
    </row>
    <row customHeight="1" ht="12.75">
      <c r="D22" s="383"/>
      <c r="E22" s="288"/>
      <c r="F22" s="288"/>
      <c r="G22" s="288"/>
      <c r="H22" s="2493"/>
      <c r="I22" s="2493"/>
      <c r="J22" s="288"/>
      <c r="K22" s="288"/>
      <c r="L22" s="288"/>
      <c r="M22" s="288"/>
      <c r="AH22" s="381">
        <v>12</v>
      </c>
    </row>
    <row customHeight="1" ht="19.95">
      <c r="A23" s="1786"/>
      <c r="B23" s="1786"/>
      <c r="D23" s="383"/>
      <c r="E23" s="1870" t="s">
        <v>109</v>
      </c>
      <c r="F23" s="2494" t="str">
        <f>"Предлагаемый метод регулирования"&amp;IF(TEMPLATE_SPHERE="HEAT"," в сфере "&amp;TEMPLATE_SPHERE_RUS,"")</f>
        <v>Предлагаемый метод регулирования</v>
      </c>
      <c r="G23" s="2495"/>
      <c r="H23" s="2487"/>
      <c r="I23" s="2487"/>
      <c r="J23" s="2487"/>
      <c r="K23" s="2495" t="s">
        <v>305</v>
      </c>
      <c r="L23" s="2487"/>
      <c r="M23" s="1775"/>
      <c r="N23" s="341"/>
      <c r="AH23" s="381">
        <v>19</v>
      </c>
    </row>
    <row customHeight="1" ht="60.75" hidden="1">
      <c r="A24" s="1786" t="s">
        <v>156</v>
      </c>
      <c r="B24" s="1786" t="s">
        <v>157</v>
      </c>
      <c r="D24" s="2492"/>
      <c r="E24" s="2230"/>
      <c r="F24" s="24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6"/>
      <c r="I24" s="1745"/>
      <c r="J24" s="1779"/>
      <c r="K24" s="1869"/>
      <c r="L24" s="1774" t="s">
        <v>305</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1195</v>
      </c>
      <c r="D25" s="2492"/>
      <c r="E25" s="2230"/>
      <c r="F25" s="2496"/>
      <c r="G25" s="2453"/>
      <c r="H25" s="1507"/>
      <c r="I25" s="658" t="s">
        <v>1196</v>
      </c>
      <c r="J25" s="578"/>
      <c r="K25" s="1507"/>
      <c r="L25" s="221"/>
      <c r="M25" s="2196"/>
      <c r="N25" s="341"/>
      <c r="O25" s="1631"/>
      <c r="P25" s="1631"/>
      <c r="AH25" s="1638">
        <v>0</v>
      </c>
    </row>
    <row customHeight="1" ht="0.75" hidden="1">
      <c r="A26" s="1786"/>
      <c r="B26" s="1786"/>
      <c r="C26" s="376" t="s">
        <v>1201</v>
      </c>
      <c r="D26" s="2492"/>
      <c r="E26" s="2230"/>
      <c r="F26" s="2409"/>
      <c r="G26" s="407"/>
      <c r="H26" s="1507"/>
      <c r="I26" s="402"/>
      <c r="J26" s="356"/>
      <c r="K26" s="1507"/>
      <c r="L26" s="208"/>
      <c r="M26" s="2196"/>
      <c r="N26" s="341"/>
      <c r="AH26" s="381">
        <v>0</v>
      </c>
    </row>
    <row s="1642" customFormat="1" customHeight="1" ht="45" hidden="1">
      <c r="A27" s="1786" t="s">
        <v>161</v>
      </c>
      <c r="B27" s="1786" t="s">
        <v>162</v>
      </c>
      <c r="C27" s="376"/>
      <c r="D27" s="2488"/>
      <c r="E27" s="2489"/>
      <c r="F27" s="2490" t="str">
        <f>INDEX(PT_DIFFERENTIATION_VTAR,MATCH(A27,PT_DIFFERENTIATION_VTAR_ID,0))</f>
        <v/>
      </c>
      <c r="G27" s="2453" t="str">
        <f>INDEX(PT_DIFFERENTIATION_NTAR,MATCH(B27,PT_DIFFERENTIATION_NTAR_ID,0))</f>
        <v/>
      </c>
      <c r="H27" s="1866"/>
      <c r="I27" s="1745"/>
      <c r="J27" s="1779"/>
      <c r="K27" s="1869"/>
      <c r="L27" s="1866" t="s">
        <v>305</v>
      </c>
      <c r="M27" s="2196"/>
      <c r="N27" s="341"/>
      <c r="O27" s="1631"/>
      <c r="P27" s="1631"/>
      <c r="AH27" s="1638">
        <v>0</v>
      </c>
    </row>
    <row s="1642" customFormat="1" customHeight="1" ht="18.75" hidden="1">
      <c r="A28" s="1786"/>
      <c r="B28" s="1786"/>
      <c r="C28" s="376" t="s">
        <v>1195</v>
      </c>
      <c r="D28" s="2488"/>
      <c r="E28" s="2489"/>
      <c r="F28" s="2490"/>
      <c r="G28" s="2453"/>
      <c r="H28" s="1507"/>
      <c r="I28" s="658" t="s">
        <v>1196</v>
      </c>
      <c r="J28" s="578"/>
      <c r="K28" s="1507"/>
      <c r="L28" s="221"/>
      <c r="M28" s="2196"/>
      <c r="N28" s="341"/>
      <c r="O28" s="1631"/>
      <c r="P28" s="1631"/>
      <c r="AH28" s="1638">
        <v>0</v>
      </c>
    </row>
    <row s="1642" customFormat="1" customHeight="1" ht="0.75" hidden="1">
      <c r="A29" s="1786"/>
      <c r="B29" s="1786"/>
      <c r="C29" s="376" t="s">
        <v>1201</v>
      </c>
      <c r="D29" s="2488"/>
      <c r="E29" s="2230"/>
      <c r="F29" s="2409"/>
      <c r="G29" s="407"/>
      <c r="H29" s="1507"/>
      <c r="I29" s="658"/>
      <c r="J29" s="578"/>
      <c r="K29" s="1507"/>
      <c r="L29" s="221"/>
      <c r="M29" s="2196"/>
      <c r="N29" s="341"/>
      <c r="O29" s="1631"/>
      <c r="P29" s="1631"/>
      <c r="AH29" s="1638">
        <v>0</v>
      </c>
    </row>
    <row s="1642" customFormat="1" customHeight="1" ht="45" hidden="1">
      <c r="A30" s="1786" t="s">
        <v>168</v>
      </c>
      <c r="B30" s="1786" t="s">
        <v>169</v>
      </c>
      <c r="C30" s="376"/>
      <c r="D30" s="2488"/>
      <c r="E30" s="2230"/>
      <c r="F30" s="24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6"/>
      <c r="I30" s="1745"/>
      <c r="J30" s="1779"/>
      <c r="K30" s="1869"/>
      <c r="L30" s="1866" t="s">
        <v>305</v>
      </c>
      <c r="M30" s="2196"/>
      <c r="N30" s="341"/>
      <c r="O30" s="1631"/>
      <c r="P30" s="1631"/>
      <c r="AH30" s="1638">
        <v>0</v>
      </c>
    </row>
    <row s="1642" customFormat="1" customHeight="1" ht="18.75" hidden="1">
      <c r="A31" s="1786"/>
      <c r="B31" s="1786"/>
      <c r="C31" s="376" t="s">
        <v>1195</v>
      </c>
      <c r="D31" s="2488"/>
      <c r="E31" s="2230"/>
      <c r="F31" s="2409"/>
      <c r="G31" s="2453"/>
      <c r="H31" s="1507"/>
      <c r="I31" s="658" t="s">
        <v>1196</v>
      </c>
      <c r="J31" s="578"/>
      <c r="K31" s="1507"/>
      <c r="L31" s="221"/>
      <c r="M31" s="2196"/>
      <c r="N31" s="341"/>
      <c r="O31" s="1631"/>
      <c r="P31" s="1631"/>
      <c r="AH31" s="1638">
        <v>0</v>
      </c>
    </row>
    <row s="1642" customFormat="1" customHeight="1" ht="0.75" hidden="1">
      <c r="A32" s="1786"/>
      <c r="B32" s="1786"/>
      <c r="C32" s="376" t="s">
        <v>1201</v>
      </c>
      <c r="D32" s="2488"/>
      <c r="E32" s="2230"/>
      <c r="F32" s="2409"/>
      <c r="G32" s="407"/>
      <c r="H32" s="1507"/>
      <c r="I32" s="658"/>
      <c r="J32" s="578"/>
      <c r="K32" s="1507"/>
      <c r="L32" s="221"/>
      <c r="M32" s="2196"/>
      <c r="N32" s="341"/>
      <c r="O32" s="1631"/>
      <c r="P32" s="1631"/>
      <c r="AH32" s="1638">
        <v>0</v>
      </c>
    </row>
    <row s="1642" customFormat="1" customHeight="1" ht="45" hidden="1">
      <c r="A33" s="1786" t="s">
        <v>174</v>
      </c>
      <c r="B33" s="1786" t="s">
        <v>175</v>
      </c>
      <c r="C33" s="376"/>
      <c r="D33" s="2488"/>
      <c r="E33" s="2230"/>
      <c r="F33" s="24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6"/>
      <c r="I33" s="1745"/>
      <c r="J33" s="1779"/>
      <c r="K33" s="1869"/>
      <c r="L33" s="1866" t="s">
        <v>305</v>
      </c>
      <c r="M33" s="2196"/>
      <c r="N33" s="341"/>
      <c r="O33" s="1631"/>
      <c r="P33" s="1631"/>
      <c r="AH33" s="1638">
        <v>0</v>
      </c>
    </row>
    <row s="1642" customFormat="1" customHeight="1" ht="18.75" hidden="1">
      <c r="A34" s="1786"/>
      <c r="B34" s="1786"/>
      <c r="C34" s="376" t="s">
        <v>1195</v>
      </c>
      <c r="D34" s="2488"/>
      <c r="E34" s="2230"/>
      <c r="F34" s="2409"/>
      <c r="G34" s="2453"/>
      <c r="H34" s="1507"/>
      <c r="I34" s="658" t="s">
        <v>1196</v>
      </c>
      <c r="J34" s="578"/>
      <c r="K34" s="1507"/>
      <c r="L34" s="221"/>
      <c r="M34" s="2196"/>
      <c r="N34" s="341"/>
      <c r="O34" s="1631"/>
      <c r="P34" s="1631"/>
      <c r="AH34" s="1638">
        <v>0</v>
      </c>
    </row>
    <row s="1642" customFormat="1" customHeight="1" ht="0.75" hidden="1">
      <c r="A35" s="1786"/>
      <c r="B35" s="1786"/>
      <c r="C35" s="376" t="s">
        <v>1201</v>
      </c>
      <c r="D35" s="2488"/>
      <c r="E35" s="2230"/>
      <c r="F35" s="2409"/>
      <c r="G35" s="407"/>
      <c r="H35" s="1507"/>
      <c r="I35" s="658"/>
      <c r="J35" s="578"/>
      <c r="K35" s="1507"/>
      <c r="L35" s="221"/>
      <c r="M35" s="2196"/>
      <c r="N35" s="341"/>
      <c r="O35" s="1631"/>
      <c r="P35" s="1631"/>
      <c r="AH35" s="1638">
        <v>0</v>
      </c>
    </row>
    <row s="1642" customFormat="1" customHeight="1" ht="18.75" hidden="1">
      <c r="A36" s="1786" t="s">
        <v>180</v>
      </c>
      <c r="B36" s="1786" t="s">
        <v>181</v>
      </c>
      <c r="C36" s="376"/>
      <c r="D36" s="2488"/>
      <c r="E36" s="2230"/>
      <c r="F36" s="2409" t="str">
        <f>INDEX(PT_DIFFERENTIATION_VTAR,MATCH(A36,PT_DIFFERENTIATION_VTAR_ID,0))</f>
        <v>Тарифы на услуги по передаче тепловой энергии</v>
      </c>
      <c r="G36" s="2453" t="str">
        <f>INDEX(PT_DIFFERENTIATION_NTAR,MATCH(B36,PT_DIFFERENTIATION_NTAR_ID,0))</f>
        <v/>
      </c>
      <c r="H36" s="1866"/>
      <c r="I36" s="1745"/>
      <c r="J36" s="1779"/>
      <c r="K36" s="1869"/>
      <c r="L36" s="1866" t="s">
        <v>305</v>
      </c>
      <c r="M36" s="2196"/>
      <c r="N36" s="341"/>
      <c r="O36" s="1631"/>
      <c r="P36" s="1631"/>
      <c r="AH36" s="1638">
        <v>0</v>
      </c>
    </row>
    <row s="1642" customFormat="1" customHeight="1" ht="18.75" hidden="1">
      <c r="A37" s="1786"/>
      <c r="B37" s="1786"/>
      <c r="C37" s="376" t="s">
        <v>1195</v>
      </c>
      <c r="D37" s="2488"/>
      <c r="E37" s="2230"/>
      <c r="F37" s="2409"/>
      <c r="G37" s="2453"/>
      <c r="H37" s="1507"/>
      <c r="I37" s="658" t="s">
        <v>1196</v>
      </c>
      <c r="J37" s="578"/>
      <c r="K37" s="1507"/>
      <c r="L37" s="221"/>
      <c r="M37" s="2196"/>
      <c r="N37" s="341"/>
      <c r="O37" s="1631"/>
      <c r="P37" s="1631"/>
      <c r="AH37" s="1638">
        <v>0</v>
      </c>
    </row>
    <row s="1642" customFormat="1" customHeight="1" ht="0.75" hidden="1">
      <c r="A38" s="1786"/>
      <c r="B38" s="1786"/>
      <c r="C38" s="376" t="s">
        <v>1201</v>
      </c>
      <c r="D38" s="2488"/>
      <c r="E38" s="2230"/>
      <c r="F38" s="2409"/>
      <c r="G38" s="407"/>
      <c r="H38" s="1507"/>
      <c r="I38" s="658"/>
      <c r="J38" s="578"/>
      <c r="K38" s="1507"/>
      <c r="L38" s="221"/>
      <c r="M38" s="2196"/>
      <c r="N38" s="341"/>
      <c r="O38" s="1631"/>
      <c r="P38" s="1631"/>
      <c r="AH38" s="1638">
        <v>0</v>
      </c>
    </row>
    <row s="1642" customFormat="1" customHeight="1" ht="18.75" hidden="1">
      <c r="A39" s="1786" t="s">
        <v>186</v>
      </c>
      <c r="B39" s="1786" t="s">
        <v>187</v>
      </c>
      <c r="C39" s="376"/>
      <c r="D39" s="2488"/>
      <c r="E39" s="2230"/>
      <c r="F39" s="2409" t="str">
        <f>INDEX(PT_DIFFERENTIATION_VTAR,MATCH(A39,PT_DIFFERENTIATION_VTAR_ID,0))</f>
        <v>Тарифы на услуги по передаче теплоносителя</v>
      </c>
      <c r="G39" s="2453" t="str">
        <f>INDEX(PT_DIFFERENTIATION_NTAR,MATCH(B39,PT_DIFFERENTIATION_NTAR_ID,0))</f>
        <v/>
      </c>
      <c r="H39" s="1866"/>
      <c r="I39" s="1745"/>
      <c r="J39" s="1779"/>
      <c r="K39" s="1869"/>
      <c r="L39" s="1866" t="s">
        <v>305</v>
      </c>
      <c r="M39" s="2196"/>
      <c r="N39" s="341"/>
      <c r="O39" s="1631"/>
      <c r="P39" s="1631"/>
      <c r="AH39" s="1638">
        <v>0</v>
      </c>
    </row>
    <row s="1642" customFormat="1" customHeight="1" ht="18.75" hidden="1">
      <c r="A40" s="1786"/>
      <c r="B40" s="1786"/>
      <c r="C40" s="376" t="s">
        <v>1195</v>
      </c>
      <c r="D40" s="2488"/>
      <c r="E40" s="2230"/>
      <c r="F40" s="2409"/>
      <c r="G40" s="2453"/>
      <c r="H40" s="1507"/>
      <c r="I40" s="658" t="s">
        <v>1196</v>
      </c>
      <c r="J40" s="578"/>
      <c r="K40" s="1507"/>
      <c r="L40" s="221"/>
      <c r="M40" s="2196"/>
      <c r="N40" s="341"/>
      <c r="O40" s="1631"/>
      <c r="P40" s="1631"/>
      <c r="AH40" s="1638">
        <v>0</v>
      </c>
    </row>
    <row s="1642" customFormat="1" customHeight="1" ht="0.75" hidden="1">
      <c r="A41" s="1786"/>
      <c r="B41" s="1786"/>
      <c r="C41" s="376" t="s">
        <v>1201</v>
      </c>
      <c r="D41" s="2488"/>
      <c r="E41" s="2230"/>
      <c r="F41" s="2409"/>
      <c r="G41" s="407"/>
      <c r="H41" s="1507"/>
      <c r="I41" s="658"/>
      <c r="J41" s="578"/>
      <c r="K41" s="1507"/>
      <c r="L41" s="221"/>
      <c r="M41" s="2196"/>
      <c r="N41" s="341"/>
      <c r="O41" s="1631"/>
      <c r="P41" s="1631"/>
      <c r="AH41" s="1638">
        <v>0</v>
      </c>
    </row>
    <row s="1642" customFormat="1" customHeight="1" ht="18.75" hidden="1">
      <c r="A42" s="1786" t="s">
        <v>192</v>
      </c>
      <c r="B42" s="1786" t="s">
        <v>193</v>
      </c>
      <c r="C42" s="376"/>
      <c r="D42" s="2488"/>
      <c r="E42" s="2230"/>
      <c r="F42" s="24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6"/>
      <c r="I42" s="1745"/>
      <c r="J42" s="1779"/>
      <c r="K42" s="1869"/>
      <c r="L42" s="1866" t="s">
        <v>305</v>
      </c>
      <c r="M42" s="2196"/>
      <c r="N42" s="341"/>
      <c r="O42" s="1631"/>
      <c r="P42" s="1631"/>
      <c r="AH42" s="1638">
        <v>0</v>
      </c>
    </row>
    <row s="1642" customFormat="1" customHeight="1" ht="18.75" hidden="1">
      <c r="A43" s="1786"/>
      <c r="B43" s="1786"/>
      <c r="C43" s="376" t="s">
        <v>1195</v>
      </c>
      <c r="D43" s="2488"/>
      <c r="E43" s="2230"/>
      <c r="F43" s="2409"/>
      <c r="G43" s="2453"/>
      <c r="H43" s="1507"/>
      <c r="I43" s="658" t="s">
        <v>1196</v>
      </c>
      <c r="J43" s="578"/>
      <c r="K43" s="1507"/>
      <c r="L43" s="221"/>
      <c r="M43" s="2196"/>
      <c r="N43" s="341"/>
      <c r="O43" s="1631"/>
      <c r="P43" s="1631"/>
      <c r="AH43" s="1638">
        <v>0</v>
      </c>
    </row>
    <row s="1642" customFormat="1" customHeight="1" ht="0.75" hidden="1">
      <c r="A44" s="1786"/>
      <c r="B44" s="1786"/>
      <c r="C44" s="376" t="s">
        <v>1201</v>
      </c>
      <c r="D44" s="2488"/>
      <c r="E44" s="2230"/>
      <c r="F44" s="2409"/>
      <c r="G44" s="407"/>
      <c r="H44" s="1507"/>
      <c r="I44" s="658"/>
      <c r="J44" s="578"/>
      <c r="K44" s="1507"/>
      <c r="L44" s="221"/>
      <c r="M44" s="2196"/>
      <c r="N44" s="341"/>
      <c r="O44" s="1631"/>
      <c r="P44" s="1631"/>
      <c r="AH44" s="1638">
        <v>0</v>
      </c>
    </row>
    <row s="1642" customFormat="1" customHeight="1" ht="18.75" hidden="1">
      <c r="A45" s="1786" t="s">
        <v>198</v>
      </c>
      <c r="B45" s="1786" t="s">
        <v>199</v>
      </c>
      <c r="C45" s="376"/>
      <c r="D45" s="2488"/>
      <c r="E45" s="2230"/>
      <c r="F45" s="2409"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6"/>
      <c r="I45" s="2638"/>
      <c r="J45" s="2639"/>
      <c r="K45" s="562"/>
      <c r="L45" s="1866" t="s">
        <v>305</v>
      </c>
      <c r="M45" s="2196"/>
      <c r="N45" s="341"/>
      <c r="O45" s="1631"/>
      <c r="P45" s="1631"/>
      <c r="AH45" s="1638">
        <v>0</v>
      </c>
    </row>
    <row s="1642" customFormat="1" customHeight="1" ht="18.75" hidden="1">
      <c r="A46" s="1786"/>
      <c r="B46" s="1786"/>
      <c r="C46" s="376" t="s">
        <v>1195</v>
      </c>
      <c r="D46" s="2488"/>
      <c r="E46" s="2230"/>
      <c r="F46" s="2409"/>
      <c r="G46" s="2453"/>
      <c r="H46" s="1507"/>
      <c r="I46" s="658" t="s">
        <v>1196</v>
      </c>
      <c r="J46" s="578"/>
      <c r="K46" s="1507"/>
      <c r="L46" s="221"/>
      <c r="M46" s="2196"/>
      <c r="N46" s="341"/>
      <c r="O46" s="1631"/>
      <c r="P46" s="1631"/>
      <c r="AH46" s="1638">
        <v>0</v>
      </c>
    </row>
    <row s="1642" customFormat="1" customHeight="1" ht="0.75" hidden="1">
      <c r="A47" s="1786"/>
      <c r="B47" s="1786"/>
      <c r="C47" s="376" t="s">
        <v>1201</v>
      </c>
      <c r="D47" s="2488"/>
      <c r="E47" s="2230"/>
      <c r="F47" s="2409"/>
      <c r="G47" s="407"/>
      <c r="H47" s="1507"/>
      <c r="I47" s="658"/>
      <c r="J47" s="578"/>
      <c r="K47" s="1507"/>
      <c r="L47" s="221"/>
      <c r="M47" s="2196"/>
      <c r="N47" s="341"/>
      <c r="O47" s="1631"/>
      <c r="P47" s="1631"/>
      <c r="AH47" s="1638">
        <v>0</v>
      </c>
    </row>
    <row s="1642" customFormat="1" customHeight="1" ht="18.75" hidden="1">
      <c r="A48" s="1786" t="s">
        <v>204</v>
      </c>
      <c r="B48" s="1786" t="s">
        <v>205</v>
      </c>
      <c r="C48" s="376"/>
      <c r="D48" s="2488"/>
      <c r="E48" s="2230"/>
      <c r="F48" s="2409"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93"/>
      <c r="I48" s="2638"/>
      <c r="J48" s="2639"/>
      <c r="K48" s="562"/>
      <c r="L48" s="1993" t="s">
        <v>305</v>
      </c>
      <c r="M48" s="2196"/>
      <c r="N48" s="341"/>
      <c r="O48" s="1631"/>
      <c r="P48" s="1631"/>
      <c r="AH48" s="1638">
        <v>0</v>
      </c>
    </row>
    <row s="1642" customFormat="1" customHeight="1" ht="18.75" hidden="1">
      <c r="A49" s="1786"/>
      <c r="B49" s="1786"/>
      <c r="C49" s="376" t="s">
        <v>1195</v>
      </c>
      <c r="D49" s="2488"/>
      <c r="E49" s="2230"/>
      <c r="F49" s="2409"/>
      <c r="G49" s="2453"/>
      <c r="H49" s="1507"/>
      <c r="I49" s="658" t="s">
        <v>1196</v>
      </c>
      <c r="J49" s="578"/>
      <c r="K49" s="1507"/>
      <c r="L49" s="221"/>
      <c r="M49" s="2196"/>
      <c r="N49" s="341"/>
      <c r="O49" s="1631"/>
      <c r="P49" s="1631"/>
      <c r="AH49" s="1638">
        <v>0</v>
      </c>
    </row>
    <row s="1642" customFormat="1" customHeight="1" ht="0.75" hidden="1">
      <c r="A50" s="1786"/>
      <c r="B50" s="1786"/>
      <c r="C50" s="376" t="s">
        <v>1201</v>
      </c>
      <c r="D50" s="2488"/>
      <c r="E50" s="2230"/>
      <c r="F50" s="2409"/>
      <c r="G50" s="407"/>
      <c r="H50" s="1507"/>
      <c r="I50" s="658"/>
      <c r="J50" s="578"/>
      <c r="K50" s="1507"/>
      <c r="L50" s="221"/>
      <c r="M50" s="2196"/>
      <c r="N50" s="341"/>
      <c r="O50" s="1631"/>
      <c r="P50" s="1631"/>
      <c r="AH50" s="1638">
        <v>0</v>
      </c>
    </row>
    <row s="1642" customFormat="1" customHeight="1" ht="18.75" hidden="1">
      <c r="A51" s="1786" t="s">
        <v>224</v>
      </c>
      <c r="B51" s="1786" t="s">
        <v>225</v>
      </c>
      <c r="C51" s="376"/>
      <c r="D51" s="2488"/>
      <c r="E51" s="2230"/>
      <c r="F51" s="2409" t="str">
        <f>INDEX(PT_DIFFERENTIATION_VTAR,MATCH(A51,PT_DIFFERENTIATION_VTAR_ID,0))</f>
        <v>Тариф на питьевую воду (питьевое водоснабжение)</v>
      </c>
      <c r="G51" s="2453" t="str">
        <f>INDEX(PT_DIFFERENTIATION_NTAR,MATCH(B51,PT_DIFFERENTIATION_NTAR_ID,0))</f>
        <v/>
      </c>
      <c r="H51" s="1866"/>
      <c r="I51" s="1745"/>
      <c r="J51" s="1779"/>
      <c r="K51" s="1869"/>
      <c r="L51" s="1866" t="s">
        <v>305</v>
      </c>
      <c r="M51" s="2196"/>
      <c r="N51" s="341"/>
      <c r="O51" s="1631"/>
      <c r="P51" s="1631"/>
      <c r="AH51" s="1638">
        <v>0</v>
      </c>
    </row>
    <row s="1642" customFormat="1" customHeight="1" ht="18.75" hidden="1">
      <c r="A52" s="1786"/>
      <c r="B52" s="1786"/>
      <c r="C52" s="376" t="s">
        <v>1195</v>
      </c>
      <c r="D52" s="2488"/>
      <c r="E52" s="2230"/>
      <c r="F52" s="2409"/>
      <c r="G52" s="2453"/>
      <c r="H52" s="1507"/>
      <c r="I52" s="658" t="s">
        <v>1196</v>
      </c>
      <c r="J52" s="578"/>
      <c r="K52" s="1507"/>
      <c r="L52" s="221"/>
      <c r="M52" s="2196"/>
      <c r="N52" s="341"/>
      <c r="O52" s="1631"/>
      <c r="P52" s="1631"/>
      <c r="AH52" s="1638">
        <v>0</v>
      </c>
    </row>
    <row s="1642" customFormat="1" customHeight="1" ht="0.75" hidden="1">
      <c r="A53" s="1786"/>
      <c r="B53" s="1786"/>
      <c r="C53" s="376" t="s">
        <v>1201</v>
      </c>
      <c r="D53" s="2488"/>
      <c r="E53" s="2230"/>
      <c r="F53" s="2409"/>
      <c r="G53" s="407"/>
      <c r="H53" s="1507"/>
      <c r="I53" s="658"/>
      <c r="J53" s="578"/>
      <c r="K53" s="1507"/>
      <c r="L53" s="221"/>
      <c r="M53" s="2196"/>
      <c r="N53" s="341"/>
      <c r="O53" s="1631"/>
      <c r="P53" s="1631"/>
      <c r="AH53" s="1638">
        <v>0</v>
      </c>
    </row>
    <row s="1642" customFormat="1" customHeight="1" ht="18.75" hidden="1">
      <c r="A54" s="1786" t="s">
        <v>229</v>
      </c>
      <c r="B54" s="1786" t="s">
        <v>230</v>
      </c>
      <c r="C54" s="376"/>
      <c r="D54" s="2488"/>
      <c r="E54" s="2230"/>
      <c r="F54" s="2409" t="str">
        <f>INDEX(PT_DIFFERENTIATION_VTAR,MATCH(A54,PT_DIFFERENTIATION_VTAR_ID,0))</f>
        <v>Тариф на техническую воду</v>
      </c>
      <c r="G54" s="2453" t="str">
        <f>INDEX(PT_DIFFERENTIATION_NTAR,MATCH(B54,PT_DIFFERENTIATION_NTAR_ID,0))</f>
        <v/>
      </c>
      <c r="H54" s="1866"/>
      <c r="I54" s="1745"/>
      <c r="J54" s="1779"/>
      <c r="K54" s="1869"/>
      <c r="L54" s="1866" t="s">
        <v>305</v>
      </c>
      <c r="M54" s="2196"/>
      <c r="N54" s="341"/>
      <c r="O54" s="1631"/>
      <c r="P54" s="1631"/>
      <c r="AH54" s="1638">
        <v>0</v>
      </c>
    </row>
    <row s="1642" customFormat="1" customHeight="1" ht="18.75" hidden="1">
      <c r="A55" s="1786"/>
      <c r="B55" s="1786"/>
      <c r="C55" s="376" t="s">
        <v>1195</v>
      </c>
      <c r="D55" s="2488"/>
      <c r="E55" s="2230"/>
      <c r="F55" s="2409"/>
      <c r="G55" s="2453"/>
      <c r="H55" s="1507"/>
      <c r="I55" s="658" t="s">
        <v>1196</v>
      </c>
      <c r="J55" s="578"/>
      <c r="K55" s="1507"/>
      <c r="L55" s="221"/>
      <c r="M55" s="2196"/>
      <c r="N55" s="341"/>
      <c r="O55" s="1631"/>
      <c r="P55" s="1631"/>
      <c r="AH55" s="1638">
        <v>0</v>
      </c>
    </row>
    <row s="1642" customFormat="1" customHeight="1" ht="0.75" hidden="1">
      <c r="A56" s="1786"/>
      <c r="B56" s="1786"/>
      <c r="C56" s="376" t="s">
        <v>1201</v>
      </c>
      <c r="D56" s="2488"/>
      <c r="E56" s="2230"/>
      <c r="F56" s="2409"/>
      <c r="G56" s="407"/>
      <c r="H56" s="1507"/>
      <c r="I56" s="658"/>
      <c r="J56" s="578"/>
      <c r="K56" s="1507"/>
      <c r="L56" s="221"/>
      <c r="M56" s="2196"/>
      <c r="N56" s="341"/>
      <c r="O56" s="1631"/>
      <c r="P56" s="1631"/>
      <c r="AH56" s="1638">
        <v>0</v>
      </c>
    </row>
    <row s="1642" customFormat="1" customHeight="1" ht="18.75" hidden="1">
      <c r="A57" s="1786" t="s">
        <v>234</v>
      </c>
      <c r="B57" s="1786" t="s">
        <v>235</v>
      </c>
      <c r="C57" s="376"/>
      <c r="D57" s="2488"/>
      <c r="E57" s="2230"/>
      <c r="F57" s="2409" t="str">
        <f>INDEX(PT_DIFFERENTIATION_VTAR,MATCH(A57,PT_DIFFERENTIATION_VTAR_ID,0))</f>
        <v>Тариф на транспортировку воды</v>
      </c>
      <c r="G57" s="2453" t="str">
        <f>INDEX(PT_DIFFERENTIATION_NTAR,MATCH(B57,PT_DIFFERENTIATION_NTAR_ID,0))</f>
        <v/>
      </c>
      <c r="H57" s="1866"/>
      <c r="I57" s="1745"/>
      <c r="J57" s="1779"/>
      <c r="K57" s="1869"/>
      <c r="L57" s="1866" t="s">
        <v>305</v>
      </c>
      <c r="M57" s="2196"/>
      <c r="N57" s="341"/>
      <c r="O57" s="1631"/>
      <c r="P57" s="1631"/>
      <c r="AH57" s="1638">
        <v>0</v>
      </c>
    </row>
    <row s="1642" customFormat="1" customHeight="1" ht="18.75" hidden="1">
      <c r="A58" s="1786"/>
      <c r="B58" s="1786"/>
      <c r="C58" s="376" t="s">
        <v>1195</v>
      </c>
      <c r="D58" s="2488"/>
      <c r="E58" s="2230"/>
      <c r="F58" s="2409"/>
      <c r="G58" s="2453"/>
      <c r="H58" s="1507"/>
      <c r="I58" s="658" t="s">
        <v>1196</v>
      </c>
      <c r="J58" s="578"/>
      <c r="K58" s="1507"/>
      <c r="L58" s="221"/>
      <c r="M58" s="2196"/>
      <c r="N58" s="341"/>
      <c r="O58" s="1631"/>
      <c r="P58" s="1631"/>
      <c r="AH58" s="1638">
        <v>0</v>
      </c>
    </row>
    <row s="1642" customFormat="1" customHeight="1" ht="0.75" hidden="1">
      <c r="A59" s="1786"/>
      <c r="B59" s="1786"/>
      <c r="C59" s="376" t="s">
        <v>1201</v>
      </c>
      <c r="D59" s="2488"/>
      <c r="E59" s="2230"/>
      <c r="F59" s="2409"/>
      <c r="G59" s="407"/>
      <c r="H59" s="1507"/>
      <c r="I59" s="658"/>
      <c r="J59" s="578"/>
      <c r="K59" s="1507"/>
      <c r="L59" s="221"/>
      <c r="M59" s="2196"/>
      <c r="N59" s="341"/>
      <c r="O59" s="1631"/>
      <c r="P59" s="1631"/>
      <c r="AH59" s="1638">
        <v>0</v>
      </c>
    </row>
    <row s="1642" customFormat="1" customHeight="1" ht="18.75" hidden="1">
      <c r="A60" s="1786" t="s">
        <v>239</v>
      </c>
      <c r="B60" s="1786" t="s">
        <v>240</v>
      </c>
      <c r="C60" s="376"/>
      <c r="D60" s="2488"/>
      <c r="E60" s="2230"/>
      <c r="F60" s="2409" t="str">
        <f>INDEX(PT_DIFFERENTIATION_VTAR,MATCH(A60,PT_DIFFERENTIATION_VTAR_ID,0))</f>
        <v>Тариф на подвоз воды</v>
      </c>
      <c r="G60" s="2453" t="str">
        <f>INDEX(PT_DIFFERENTIATION_NTAR,MATCH(B60,PT_DIFFERENTIATION_NTAR_ID,0))</f>
        <v/>
      </c>
      <c r="H60" s="1866"/>
      <c r="I60" s="1745"/>
      <c r="J60" s="1779"/>
      <c r="K60" s="1869"/>
      <c r="L60" s="1866" t="s">
        <v>305</v>
      </c>
      <c r="M60" s="2196"/>
      <c r="N60" s="341"/>
      <c r="O60" s="1631"/>
      <c r="P60" s="1631"/>
      <c r="AH60" s="1638">
        <v>0</v>
      </c>
    </row>
    <row s="1642" customFormat="1" customHeight="1" ht="18.75" hidden="1">
      <c r="A61" s="1786"/>
      <c r="B61" s="1786"/>
      <c r="C61" s="376" t="s">
        <v>1195</v>
      </c>
      <c r="D61" s="2488"/>
      <c r="E61" s="2230"/>
      <c r="F61" s="2409"/>
      <c r="G61" s="2453"/>
      <c r="H61" s="1507"/>
      <c r="I61" s="658" t="s">
        <v>1196</v>
      </c>
      <c r="J61" s="578"/>
      <c r="K61" s="1507"/>
      <c r="L61" s="221"/>
      <c r="M61" s="2196"/>
      <c r="N61" s="341"/>
      <c r="O61" s="1631"/>
      <c r="P61" s="1631"/>
      <c r="AH61" s="1638">
        <v>0</v>
      </c>
    </row>
    <row s="1642" customFormat="1" customHeight="1" ht="0.75" hidden="1">
      <c r="A62" s="1786"/>
      <c r="B62" s="1786"/>
      <c r="C62" s="376" t="s">
        <v>1201</v>
      </c>
      <c r="D62" s="2488"/>
      <c r="E62" s="2230"/>
      <c r="F62" s="2409"/>
      <c r="G62" s="407"/>
      <c r="H62" s="1507"/>
      <c r="I62" s="658"/>
      <c r="J62" s="578"/>
      <c r="K62" s="1507"/>
      <c r="L62" s="221"/>
      <c r="M62" s="2196"/>
      <c r="N62" s="341"/>
      <c r="O62" s="1631"/>
      <c r="P62" s="1631"/>
      <c r="AH62" s="1638">
        <v>0</v>
      </c>
    </row>
    <row s="1642" customFormat="1" customHeight="1" ht="18.75" hidden="1">
      <c r="A63" s="1786" t="s">
        <v>244</v>
      </c>
      <c r="B63" s="1786" t="s">
        <v>245</v>
      </c>
      <c r="C63" s="376"/>
      <c r="D63" s="2488"/>
      <c r="E63" s="2230"/>
      <c r="F63" s="24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6"/>
      <c r="I63" s="2638"/>
      <c r="J63" s="2639"/>
      <c r="K63" s="562"/>
      <c r="L63" s="1866" t="s">
        <v>305</v>
      </c>
      <c r="M63" s="2196"/>
      <c r="N63" s="341"/>
      <c r="O63" s="1631"/>
      <c r="P63" s="1631"/>
      <c r="AH63" s="1638">
        <v>0</v>
      </c>
    </row>
    <row s="1642" customFormat="1" customHeight="1" ht="18.75" hidden="1">
      <c r="A64" s="1786"/>
      <c r="B64" s="1786"/>
      <c r="C64" s="376" t="s">
        <v>1195</v>
      </c>
      <c r="D64" s="2488"/>
      <c r="E64" s="2230"/>
      <c r="F64" s="2409"/>
      <c r="G64" s="2453"/>
      <c r="H64" s="1507"/>
      <c r="I64" s="658" t="s">
        <v>1196</v>
      </c>
      <c r="J64" s="578"/>
      <c r="K64" s="1507"/>
      <c r="L64" s="221"/>
      <c r="M64" s="2196"/>
      <c r="N64" s="341"/>
      <c r="O64" s="1631"/>
      <c r="P64" s="1631"/>
      <c r="AH64" s="1638">
        <v>0</v>
      </c>
    </row>
    <row s="1642" customFormat="1" customHeight="1" ht="0.75" hidden="1">
      <c r="A65" s="1786"/>
      <c r="B65" s="1786"/>
      <c r="C65" s="376" t="s">
        <v>1201</v>
      </c>
      <c r="D65" s="2488"/>
      <c r="E65" s="2230"/>
      <c r="F65" s="2409"/>
      <c r="G65" s="407"/>
      <c r="H65" s="1507"/>
      <c r="I65" s="658"/>
      <c r="J65" s="578"/>
      <c r="K65" s="1507"/>
      <c r="L65" s="221"/>
      <c r="M65" s="2196"/>
      <c r="N65" s="341"/>
      <c r="O65" s="1631"/>
      <c r="P65" s="1631"/>
      <c r="AH65" s="1638">
        <v>0</v>
      </c>
    </row>
    <row s="1642" customFormat="1" customHeight="1" ht="18.75" hidden="1">
      <c r="A66" s="1786" t="s">
        <v>249</v>
      </c>
      <c r="B66" s="1786" t="s">
        <v>250</v>
      </c>
      <c r="C66" s="376"/>
      <c r="D66" s="2488"/>
      <c r="E66" s="2230"/>
      <c r="F66" s="2409" t="str">
        <f>INDEX(PT_DIFFERENTIATION_VTAR,MATCH(A66,PT_DIFFERENTIATION_VTAR_ID,0))</f>
        <v>Тариф на горячую воду (горячее водоснабжение)</v>
      </c>
      <c r="G66" s="2453" t="str">
        <f>INDEX(PT_DIFFERENTIATION_NTAR,MATCH(B66,PT_DIFFERENTIATION_NTAR_ID,0))</f>
        <v/>
      </c>
      <c r="H66" s="1866"/>
      <c r="I66" s="1745"/>
      <c r="J66" s="1779"/>
      <c r="K66" s="1869"/>
      <c r="L66" s="1866" t="s">
        <v>305</v>
      </c>
      <c r="M66" s="2196"/>
      <c r="N66" s="341"/>
      <c r="O66" s="1631"/>
      <c r="P66" s="1631"/>
      <c r="AH66" s="1638">
        <v>0</v>
      </c>
    </row>
    <row s="1642" customFormat="1" customHeight="1" ht="18.75" hidden="1">
      <c r="A67" s="1786"/>
      <c r="B67" s="1786"/>
      <c r="C67" s="376" t="s">
        <v>1195</v>
      </c>
      <c r="D67" s="2488"/>
      <c r="E67" s="2230"/>
      <c r="F67" s="2409"/>
      <c r="G67" s="2453"/>
      <c r="H67" s="1507"/>
      <c r="I67" s="658" t="s">
        <v>1196</v>
      </c>
      <c r="J67" s="578"/>
      <c r="K67" s="1507"/>
      <c r="L67" s="221"/>
      <c r="M67" s="2196"/>
      <c r="N67" s="341"/>
      <c r="O67" s="1631"/>
      <c r="P67" s="1631"/>
      <c r="AH67" s="1638">
        <v>0</v>
      </c>
    </row>
    <row s="1642" customFormat="1" customHeight="1" ht="0.75" hidden="1">
      <c r="A68" s="1786"/>
      <c r="B68" s="1786"/>
      <c r="C68" s="376" t="s">
        <v>1201</v>
      </c>
      <c r="D68" s="2488"/>
      <c r="E68" s="2230"/>
      <c r="F68" s="2409"/>
      <c r="G68" s="407"/>
      <c r="H68" s="1507"/>
      <c r="I68" s="658"/>
      <c r="J68" s="578"/>
      <c r="K68" s="1507"/>
      <c r="L68" s="221"/>
      <c r="M68" s="2196"/>
      <c r="N68" s="341"/>
      <c r="O68" s="1631"/>
      <c r="P68" s="1631"/>
      <c r="AH68" s="1638">
        <v>0</v>
      </c>
    </row>
    <row s="1642" customFormat="1" customHeight="1" ht="18.75" hidden="1">
      <c r="A69" s="1786" t="s">
        <v>254</v>
      </c>
      <c r="B69" s="1786" t="s">
        <v>255</v>
      </c>
      <c r="C69" s="376"/>
      <c r="D69" s="2488"/>
      <c r="E69" s="2230"/>
      <c r="F69" s="2409" t="str">
        <f>INDEX(PT_DIFFERENTIATION_VTAR,MATCH(A69,PT_DIFFERENTIATION_VTAR_ID,0))</f>
        <v>Тариф на транспортировку горячей воды</v>
      </c>
      <c r="G69" s="2453" t="str">
        <f>INDEX(PT_DIFFERENTIATION_NTAR,MATCH(B69,PT_DIFFERENTIATION_NTAR_ID,0))</f>
        <v/>
      </c>
      <c r="H69" s="1866"/>
      <c r="I69" s="1745"/>
      <c r="J69" s="1779"/>
      <c r="K69" s="1869"/>
      <c r="L69" s="1866" t="s">
        <v>305</v>
      </c>
      <c r="M69" s="2196"/>
      <c r="N69" s="341"/>
      <c r="O69" s="1631"/>
      <c r="P69" s="1631"/>
      <c r="AH69" s="1638">
        <v>0</v>
      </c>
    </row>
    <row s="1642" customFormat="1" customHeight="1" ht="18.75" hidden="1">
      <c r="A70" s="1786"/>
      <c r="B70" s="1786"/>
      <c r="C70" s="376" t="s">
        <v>1195</v>
      </c>
      <c r="D70" s="2488"/>
      <c r="E70" s="2230"/>
      <c r="F70" s="2409"/>
      <c r="G70" s="2453"/>
      <c r="H70" s="1507"/>
      <c r="I70" s="658" t="s">
        <v>1196</v>
      </c>
      <c r="J70" s="578"/>
      <c r="K70" s="1507"/>
      <c r="L70" s="221"/>
      <c r="M70" s="2196"/>
      <c r="N70" s="341"/>
      <c r="O70" s="1631"/>
      <c r="P70" s="1631"/>
      <c r="AH70" s="1638">
        <v>0</v>
      </c>
    </row>
    <row s="1642" customFormat="1" customHeight="1" ht="0.75" hidden="1">
      <c r="A71" s="1786"/>
      <c r="B71" s="1786"/>
      <c r="C71" s="376" t="s">
        <v>1201</v>
      </c>
      <c r="D71" s="2488"/>
      <c r="E71" s="2230"/>
      <c r="F71" s="2409"/>
      <c r="G71" s="407"/>
      <c r="H71" s="1507"/>
      <c r="I71" s="658"/>
      <c r="J71" s="578"/>
      <c r="K71" s="1507"/>
      <c r="L71" s="221"/>
      <c r="M71" s="2196"/>
      <c r="N71" s="341"/>
      <c r="O71" s="1631"/>
      <c r="P71" s="1631"/>
      <c r="AH71" s="1638">
        <v>0</v>
      </c>
    </row>
    <row s="1642" customFormat="1" customHeight="1" ht="18.75" hidden="1">
      <c r="A72" s="1786" t="s">
        <v>259</v>
      </c>
      <c r="B72" s="1786" t="s">
        <v>260</v>
      </c>
      <c r="C72" s="376"/>
      <c r="D72" s="2488"/>
      <c r="E72" s="2230"/>
      <c r="F72" s="2409"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6"/>
      <c r="I72" s="2638"/>
      <c r="J72" s="2639"/>
      <c r="K72" s="562"/>
      <c r="L72" s="1866" t="s">
        <v>305</v>
      </c>
      <c r="M72" s="2196"/>
      <c r="N72" s="341"/>
      <c r="O72" s="1631"/>
      <c r="P72" s="1631"/>
      <c r="AH72" s="1638">
        <v>0</v>
      </c>
    </row>
    <row s="1642" customFormat="1" customHeight="1" ht="18.75" hidden="1">
      <c r="A73" s="1786"/>
      <c r="B73" s="1786"/>
      <c r="C73" s="376" t="s">
        <v>1195</v>
      </c>
      <c r="D73" s="2488"/>
      <c r="E73" s="2230"/>
      <c r="F73" s="2409"/>
      <c r="G73" s="2453"/>
      <c r="H73" s="1507"/>
      <c r="I73" s="658" t="s">
        <v>1196</v>
      </c>
      <c r="J73" s="578"/>
      <c r="K73" s="1507"/>
      <c r="L73" s="221"/>
      <c r="M73" s="2196"/>
      <c r="N73" s="341"/>
      <c r="O73" s="1631"/>
      <c r="P73" s="1631"/>
      <c r="AH73" s="1638">
        <v>0</v>
      </c>
    </row>
    <row s="1642" customFormat="1" customHeight="1" ht="0.75" hidden="1">
      <c r="A74" s="1786"/>
      <c r="B74" s="1786"/>
      <c r="C74" s="376" t="s">
        <v>1201</v>
      </c>
      <c r="D74" s="2488"/>
      <c r="E74" s="2230"/>
      <c r="F74" s="2409"/>
      <c r="G74" s="407"/>
      <c r="H74" s="1507"/>
      <c r="I74" s="658"/>
      <c r="J74" s="578"/>
      <c r="K74" s="1507"/>
      <c r="L74" s="221"/>
      <c r="M74" s="2196"/>
      <c r="N74" s="341"/>
      <c r="O74" s="1631"/>
      <c r="P74" s="1631"/>
      <c r="AH74" s="1638">
        <v>0</v>
      </c>
    </row>
    <row s="1642" customFormat="1" customHeight="1" ht="18.75" hidden="1">
      <c r="A75" s="1786" t="s">
        <v>264</v>
      </c>
      <c r="B75" s="1786" t="s">
        <v>265</v>
      </c>
      <c r="C75" s="376"/>
      <c r="D75" s="2488"/>
      <c r="E75" s="2230"/>
      <c r="F75" s="2409" t="str">
        <f>INDEX(PT_DIFFERENTIATION_VTAR,MATCH(A75,PT_DIFFERENTIATION_VTAR_ID,0))</f>
        <v>Тариф на водоотведение</v>
      </c>
      <c r="G75" s="2453" t="str">
        <f>INDEX(PT_DIFFERENTIATION_NTAR,MATCH(B75,PT_DIFFERENTIATION_NTAR_ID,0))</f>
        <v/>
      </c>
      <c r="H75" s="1866"/>
      <c r="I75" s="1745"/>
      <c r="J75" s="1779"/>
      <c r="K75" s="1869"/>
      <c r="L75" s="1866" t="s">
        <v>305</v>
      </c>
      <c r="M75" s="2196"/>
      <c r="N75" s="341"/>
      <c r="O75" s="1631"/>
      <c r="P75" s="1631"/>
      <c r="AH75" s="1638">
        <v>0</v>
      </c>
    </row>
    <row s="1642" customFormat="1" customHeight="1" ht="18.75" hidden="1">
      <c r="A76" s="1786"/>
      <c r="B76" s="1786"/>
      <c r="C76" s="376" t="s">
        <v>1195</v>
      </c>
      <c r="D76" s="2488"/>
      <c r="E76" s="2230"/>
      <c r="F76" s="2409"/>
      <c r="G76" s="2453"/>
      <c r="H76" s="1507"/>
      <c r="I76" s="658" t="s">
        <v>1196</v>
      </c>
      <c r="J76" s="578"/>
      <c r="K76" s="1507"/>
      <c r="L76" s="221"/>
      <c r="M76" s="2196"/>
      <c r="N76" s="341"/>
      <c r="O76" s="1631"/>
      <c r="P76" s="1631"/>
      <c r="AH76" s="1638">
        <v>0</v>
      </c>
    </row>
    <row s="1642" customFormat="1" customHeight="1" ht="0.75" hidden="1">
      <c r="A77" s="1786"/>
      <c r="B77" s="1786"/>
      <c r="C77" s="376" t="s">
        <v>1201</v>
      </c>
      <c r="D77" s="2488"/>
      <c r="E77" s="2230"/>
      <c r="F77" s="2409"/>
      <c r="G77" s="407"/>
      <c r="H77" s="1507"/>
      <c r="I77" s="658"/>
      <c r="J77" s="578"/>
      <c r="K77" s="1507"/>
      <c r="L77" s="221"/>
      <c r="M77" s="2196"/>
      <c r="N77" s="341"/>
      <c r="O77" s="1631"/>
      <c r="P77" s="1631"/>
      <c r="AH77" s="1638">
        <v>0</v>
      </c>
    </row>
    <row s="1642" customFormat="1" customHeight="1" ht="18.75" hidden="1">
      <c r="A78" s="1786" t="s">
        <v>269</v>
      </c>
      <c r="B78" s="1786" t="s">
        <v>270</v>
      </c>
      <c r="C78" s="376"/>
      <c r="D78" s="2488"/>
      <c r="E78" s="2230"/>
      <c r="F78" s="2409" t="str">
        <f>INDEX(PT_DIFFERENTIATION_VTAR,MATCH(A78,PT_DIFFERENTIATION_VTAR_ID,0))</f>
        <v>Тариф на транспортировку сточных вод</v>
      </c>
      <c r="G78" s="2453" t="str">
        <f>INDEX(PT_DIFFERENTIATION_NTAR,MATCH(B78,PT_DIFFERENTIATION_NTAR_ID,0))</f>
        <v/>
      </c>
      <c r="H78" s="1866"/>
      <c r="I78" s="1745"/>
      <c r="J78" s="1779"/>
      <c r="K78" s="1869"/>
      <c r="L78" s="1866" t="s">
        <v>305</v>
      </c>
      <c r="M78" s="2196"/>
      <c r="N78" s="341"/>
      <c r="O78" s="1631"/>
      <c r="P78" s="1631"/>
      <c r="AH78" s="1638">
        <v>0</v>
      </c>
    </row>
    <row s="1642" customFormat="1" customHeight="1" ht="18.75" hidden="1">
      <c r="A79" s="1786"/>
      <c r="B79" s="1786"/>
      <c r="C79" s="376" t="s">
        <v>1195</v>
      </c>
      <c r="D79" s="2488"/>
      <c r="E79" s="2230"/>
      <c r="F79" s="2409"/>
      <c r="G79" s="2453"/>
      <c r="H79" s="1507"/>
      <c r="I79" s="658" t="s">
        <v>1196</v>
      </c>
      <c r="J79" s="578"/>
      <c r="K79" s="1507"/>
      <c r="L79" s="221"/>
      <c r="M79" s="2196"/>
      <c r="N79" s="341"/>
      <c r="O79" s="1631"/>
      <c r="P79" s="1631"/>
      <c r="AH79" s="1638">
        <v>0</v>
      </c>
    </row>
    <row s="1642" customFormat="1" customHeight="1" ht="0.75" hidden="1">
      <c r="A80" s="1786"/>
      <c r="B80" s="1786"/>
      <c r="C80" s="376" t="s">
        <v>1201</v>
      </c>
      <c r="D80" s="2488"/>
      <c r="E80" s="2230"/>
      <c r="F80" s="2409"/>
      <c r="G80" s="407"/>
      <c r="H80" s="1507"/>
      <c r="I80" s="658"/>
      <c r="J80" s="578"/>
      <c r="K80" s="1507"/>
      <c r="L80" s="221"/>
      <c r="M80" s="2196"/>
      <c r="N80" s="341"/>
      <c r="O80" s="1631"/>
      <c r="P80" s="1631"/>
      <c r="AH80" s="1638">
        <v>0</v>
      </c>
    </row>
    <row s="1642" customFormat="1" customHeight="1" ht="18.75" hidden="1">
      <c r="A81" s="1786" t="s">
        <v>274</v>
      </c>
      <c r="B81" s="1786" t="s">
        <v>275</v>
      </c>
      <c r="C81" s="376"/>
      <c r="D81" s="2488"/>
      <c r="E81" s="2230"/>
      <c r="F81" s="2409"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6"/>
      <c r="I81" s="2638"/>
      <c r="J81" s="2639"/>
      <c r="K81" s="562"/>
      <c r="L81" s="1866" t="s">
        <v>305</v>
      </c>
      <c r="M81" s="2196"/>
      <c r="N81" s="341"/>
      <c r="O81" s="1631"/>
      <c r="P81" s="1631"/>
      <c r="AH81" s="1638">
        <v>0</v>
      </c>
    </row>
    <row s="1642" customFormat="1" customHeight="1" ht="18.75" hidden="1">
      <c r="A82" s="1786"/>
      <c r="B82" s="1786"/>
      <c r="C82" s="376" t="s">
        <v>1195</v>
      </c>
      <c r="D82" s="2488"/>
      <c r="E82" s="2230"/>
      <c r="F82" s="2409"/>
      <c r="G82" s="2453"/>
      <c r="H82" s="1507"/>
      <c r="I82" s="658" t="s">
        <v>1196</v>
      </c>
      <c r="J82" s="578"/>
      <c r="K82" s="1507"/>
      <c r="L82" s="221"/>
      <c r="M82" s="2196"/>
      <c r="N82" s="341"/>
      <c r="O82" s="1631"/>
      <c r="P82" s="1631"/>
      <c r="AH82" s="1638">
        <v>0</v>
      </c>
    </row>
    <row s="1642" customFormat="1" customHeight="1" ht="1.05">
      <c r="A83" s="1786"/>
      <c r="B83" s="1786"/>
      <c r="C83" s="376" t="s">
        <v>1201</v>
      </c>
      <c r="D83" s="2488"/>
      <c r="E83" s="2230"/>
      <c r="F83" s="2409"/>
      <c r="G83" s="407"/>
      <c r="H83" s="1507"/>
      <c r="I83" s="658"/>
      <c r="J83" s="578"/>
      <c r="K83" s="1507"/>
      <c r="L83" s="221"/>
      <c r="M83" s="2196"/>
      <c r="N83" s="341"/>
      <c r="O83" s="1631"/>
      <c r="P83" s="1631"/>
      <c r="AH83" s="1638">
        <v>1</v>
      </c>
    </row>
    <row customHeight="1" ht="19.95">
      <c r="A84" s="1786"/>
      <c r="B84" s="1786"/>
      <c r="D84" s="383"/>
      <c r="E84" s="154" t="s">
        <v>110</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6"/>
      <c r="H84" s="2486"/>
      <c r="I84" s="2486"/>
      <c r="J84" s="2486"/>
      <c r="K84" s="2486"/>
      <c r="L84" s="2486"/>
      <c r="M84" s="304"/>
      <c r="N84" s="341"/>
      <c r="AH84" s="381">
        <v>19</v>
      </c>
    </row>
    <row customHeight="1" ht="35.699999999999996">
      <c r="A85" s="1786"/>
      <c r="B85" s="1786"/>
      <c r="D85" s="383"/>
      <c r="E85" s="406"/>
      <c r="F85" s="205" t="s">
        <v>305</v>
      </c>
      <c r="G85" s="205" t="s">
        <v>305</v>
      </c>
      <c r="H85" s="2244" t="s">
        <v>305</v>
      </c>
      <c r="I85" s="2246"/>
      <c r="J85" s="205" t="s">
        <v>305</v>
      </c>
      <c r="K85" s="205" t="s">
        <v>305</v>
      </c>
      <c r="L85" s="408"/>
      <c r="M85" s="352" t="s">
        <v>1202</v>
      </c>
      <c r="N85" s="341"/>
      <c r="AH85" s="381">
        <v>34</v>
      </c>
    </row>
    <row customHeight="1" ht="19.95">
      <c r="A86" s="1786"/>
      <c r="B86" s="1786"/>
      <c r="D86" s="383"/>
      <c r="E86" s="154" t="s">
        <v>90</v>
      </c>
      <c r="F86" s="2486" t="s">
        <v>1203</v>
      </c>
      <c r="G86" s="2486"/>
      <c r="H86" s="2486"/>
      <c r="I86" s="2486"/>
      <c r="J86" s="2486"/>
      <c r="K86" s="2486"/>
      <c r="L86" s="2486"/>
      <c r="M86" s="304"/>
      <c r="N86" s="341"/>
      <c r="AH86" s="381">
        <v>19</v>
      </c>
    </row>
    <row s="1642" customFormat="1" customHeight="1" ht="60.75" hidden="1">
      <c r="A87" s="1786" t="s">
        <v>156</v>
      </c>
      <c r="B87" s="1786" t="s">
        <v>157</v>
      </c>
      <c r="C87" s="376"/>
      <c r="D87" s="2488"/>
      <c r="E87" s="2230"/>
      <c r="F87" s="24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6"/>
      <c r="I87" s="1745"/>
      <c r="J87" s="1779"/>
      <c r="K87" s="1784"/>
      <c r="L87" s="1866" t="s">
        <v>305</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1197</v>
      </c>
      <c r="D88" s="2488"/>
      <c r="E88" s="2230"/>
      <c r="F88" s="2409"/>
      <c r="G88" s="2453"/>
      <c r="H88" s="1507"/>
      <c r="I88" s="658" t="s">
        <v>1196</v>
      </c>
      <c r="J88" s="578"/>
      <c r="K88" s="1507"/>
      <c r="L88" s="221"/>
      <c r="M88" s="2196"/>
      <c r="N88" s="341"/>
      <c r="O88" s="1631"/>
      <c r="P88" s="1631"/>
      <c r="AH88" s="1638">
        <v>0</v>
      </c>
    </row>
    <row s="1642" customFormat="1" customHeight="1" ht="0.75" hidden="1">
      <c r="A89" s="1786"/>
      <c r="B89" s="1786"/>
      <c r="C89" s="376" t="s">
        <v>1204</v>
      </c>
      <c r="D89" s="2488"/>
      <c r="E89" s="2230"/>
      <c r="F89" s="2409"/>
      <c r="G89" s="407"/>
      <c r="H89" s="1507"/>
      <c r="I89" s="658"/>
      <c r="J89" s="578"/>
      <c r="K89" s="1507"/>
      <c r="L89" s="221"/>
      <c r="M89" s="2196"/>
      <c r="N89" s="341"/>
      <c r="O89" s="1631"/>
      <c r="P89" s="1631"/>
      <c r="AH89" s="1638">
        <v>0</v>
      </c>
    </row>
    <row s="1642" customFormat="1" customHeight="1" ht="45" hidden="1">
      <c r="A90" s="1786" t="s">
        <v>161</v>
      </c>
      <c r="B90" s="1786" t="s">
        <v>162</v>
      </c>
      <c r="C90" s="376"/>
      <c r="D90" s="2488"/>
      <c r="E90" s="2230"/>
      <c r="F90" s="2409" t="str">
        <f>INDEX(PT_DIFFERENTIATION_VTAR,MATCH(A90,PT_DIFFERENTIATION_VTAR_ID,0))</f>
        <v/>
      </c>
      <c r="G90" s="2453" t="str">
        <f>INDEX(PT_DIFFERENTIATION_NTAR,MATCH(B90,PT_DIFFERENTIATION_NTAR_ID,0))</f>
        <v/>
      </c>
      <c r="H90" s="1866"/>
      <c r="I90" s="1745"/>
      <c r="J90" s="1779"/>
      <c r="K90" s="1784"/>
      <c r="L90" s="1866" t="s">
        <v>305</v>
      </c>
      <c r="M90" s="2197"/>
      <c r="N90" s="341"/>
      <c r="O90" s="1631"/>
      <c r="P90" s="1631"/>
      <c r="AH90" s="1638">
        <v>0</v>
      </c>
    </row>
    <row s="1642" customFormat="1" customHeight="1" ht="18.75" hidden="1">
      <c r="A91" s="1786"/>
      <c r="B91" s="1786"/>
      <c r="C91" s="376" t="s">
        <v>1197</v>
      </c>
      <c r="D91" s="2488"/>
      <c r="E91" s="2230"/>
      <c r="F91" s="2409"/>
      <c r="G91" s="2453"/>
      <c r="H91" s="1507"/>
      <c r="I91" s="658" t="s">
        <v>1196</v>
      </c>
      <c r="J91" s="578"/>
      <c r="K91" s="1507"/>
      <c r="L91" s="221"/>
      <c r="M91" s="1865"/>
      <c r="N91" s="341"/>
      <c r="O91" s="1631"/>
      <c r="P91" s="1631"/>
      <c r="AH91" s="1638">
        <v>0</v>
      </c>
    </row>
    <row s="1642" customFormat="1" customHeight="1" ht="0.75" hidden="1">
      <c r="A92" s="1786"/>
      <c r="B92" s="1786"/>
      <c r="C92" s="376" t="s">
        <v>1204</v>
      </c>
      <c r="D92" s="2488"/>
      <c r="E92" s="2230"/>
      <c r="F92" s="2409"/>
      <c r="G92" s="407"/>
      <c r="H92" s="1507"/>
      <c r="I92" s="658"/>
      <c r="J92" s="578"/>
      <c r="K92" s="1507"/>
      <c r="L92" s="221"/>
      <c r="M92" s="348"/>
      <c r="N92" s="341"/>
      <c r="O92" s="1631"/>
      <c r="P92" s="1631"/>
      <c r="AH92" s="1638">
        <v>0</v>
      </c>
    </row>
    <row s="1642" customFormat="1" customHeight="1" ht="45" hidden="1">
      <c r="A93" s="1786" t="s">
        <v>168</v>
      </c>
      <c r="B93" s="1786" t="s">
        <v>169</v>
      </c>
      <c r="C93" s="376"/>
      <c r="D93" s="2488"/>
      <c r="E93" s="2230"/>
      <c r="F93" s="24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6"/>
      <c r="I93" s="1745"/>
      <c r="J93" s="1779"/>
      <c r="K93" s="1784"/>
      <c r="L93" s="1866" t="s">
        <v>305</v>
      </c>
      <c r="M93" s="348"/>
      <c r="N93" s="341"/>
      <c r="O93" s="1631"/>
      <c r="P93" s="1631"/>
      <c r="AH93" s="1638">
        <v>0</v>
      </c>
    </row>
    <row s="1642" customFormat="1" customHeight="1" ht="18.75" hidden="1">
      <c r="A94" s="1786"/>
      <c r="B94" s="1786"/>
      <c r="C94" s="376" t="s">
        <v>1197</v>
      </c>
      <c r="D94" s="2488"/>
      <c r="E94" s="2230"/>
      <c r="F94" s="2409"/>
      <c r="G94" s="2453"/>
      <c r="H94" s="1507"/>
      <c r="I94" s="658" t="s">
        <v>1196</v>
      </c>
      <c r="J94" s="578"/>
      <c r="K94" s="1507"/>
      <c r="L94" s="221"/>
      <c r="M94" s="348"/>
      <c r="N94" s="341"/>
      <c r="O94" s="1631"/>
      <c r="P94" s="1631"/>
      <c r="AH94" s="1638">
        <v>0</v>
      </c>
    </row>
    <row s="1642" customFormat="1" customHeight="1" ht="0.75" hidden="1">
      <c r="A95" s="1786"/>
      <c r="B95" s="1786"/>
      <c r="C95" s="376" t="s">
        <v>1204</v>
      </c>
      <c r="D95" s="2488"/>
      <c r="E95" s="2230"/>
      <c r="F95" s="2409"/>
      <c r="G95" s="407"/>
      <c r="H95" s="1507"/>
      <c r="I95" s="658"/>
      <c r="J95" s="578"/>
      <c r="K95" s="1507"/>
      <c r="L95" s="221"/>
      <c r="M95" s="348"/>
      <c r="N95" s="341"/>
      <c r="O95" s="1631"/>
      <c r="P95" s="1631"/>
      <c r="AH95" s="1638">
        <v>0</v>
      </c>
    </row>
    <row s="1642" customFormat="1" customHeight="1" ht="45" hidden="1">
      <c r="A96" s="1786" t="s">
        <v>174</v>
      </c>
      <c r="B96" s="1786" t="s">
        <v>175</v>
      </c>
      <c r="C96" s="376"/>
      <c r="D96" s="2488"/>
      <c r="E96" s="2230"/>
      <c r="F96" s="24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6"/>
      <c r="I96" s="1745"/>
      <c r="J96" s="1779"/>
      <c r="K96" s="1784"/>
      <c r="L96" s="1866" t="s">
        <v>305</v>
      </c>
      <c r="M96" s="348"/>
      <c r="N96" s="341"/>
      <c r="O96" s="1631"/>
      <c r="P96" s="1631"/>
      <c r="AH96" s="1638">
        <v>0</v>
      </c>
    </row>
    <row s="1642" customFormat="1" customHeight="1" ht="18.75" hidden="1">
      <c r="A97" s="1786"/>
      <c r="B97" s="1786"/>
      <c r="C97" s="376" t="s">
        <v>1197</v>
      </c>
      <c r="D97" s="2488"/>
      <c r="E97" s="2230"/>
      <c r="F97" s="2409"/>
      <c r="G97" s="2453"/>
      <c r="H97" s="1507"/>
      <c r="I97" s="658" t="s">
        <v>1196</v>
      </c>
      <c r="J97" s="578"/>
      <c r="K97" s="1507"/>
      <c r="L97" s="221"/>
      <c r="M97" s="348"/>
      <c r="N97" s="341"/>
      <c r="O97" s="1631"/>
      <c r="P97" s="1631"/>
      <c r="AH97" s="1638">
        <v>0</v>
      </c>
    </row>
    <row s="1642" customFormat="1" customHeight="1" ht="0.75" hidden="1">
      <c r="A98" s="1786"/>
      <c r="B98" s="1786"/>
      <c r="C98" s="376" t="s">
        <v>1204</v>
      </c>
      <c r="D98" s="2488"/>
      <c r="E98" s="2230"/>
      <c r="F98" s="2409"/>
      <c r="G98" s="407"/>
      <c r="H98" s="1507"/>
      <c r="I98" s="658"/>
      <c r="J98" s="578"/>
      <c r="K98" s="1507"/>
      <c r="L98" s="221"/>
      <c r="M98" s="348"/>
      <c r="N98" s="341"/>
      <c r="O98" s="1631"/>
      <c r="P98" s="1631"/>
      <c r="AH98" s="1638">
        <v>0</v>
      </c>
    </row>
    <row s="1642" customFormat="1" customHeight="1" ht="18.75" hidden="1">
      <c r="A99" s="1786" t="s">
        <v>180</v>
      </c>
      <c r="B99" s="1786" t="s">
        <v>181</v>
      </c>
      <c r="C99" s="376"/>
      <c r="D99" s="2488"/>
      <c r="E99" s="2230"/>
      <c r="F99" s="2409" t="str">
        <f>INDEX(PT_DIFFERENTIATION_VTAR,MATCH(A99,PT_DIFFERENTIATION_VTAR_ID,0))</f>
        <v>Тарифы на услуги по передаче тепловой энергии</v>
      </c>
      <c r="G99" s="2453" t="str">
        <f>INDEX(PT_DIFFERENTIATION_NTAR,MATCH(B99,PT_DIFFERENTIATION_NTAR_ID,0))</f>
        <v/>
      </c>
      <c r="H99" s="1866"/>
      <c r="I99" s="1745"/>
      <c r="J99" s="1779"/>
      <c r="K99" s="1784"/>
      <c r="L99" s="1866" t="s">
        <v>305</v>
      </c>
      <c r="M99" s="348"/>
      <c r="N99" s="341"/>
      <c r="O99" s="1631"/>
      <c r="P99" s="1631"/>
      <c r="AH99" s="1638">
        <v>0</v>
      </c>
    </row>
    <row s="1642" customFormat="1" customHeight="1" ht="18.75" hidden="1">
      <c r="A100" s="1786"/>
      <c r="B100" s="1786"/>
      <c r="C100" s="376" t="s">
        <v>1197</v>
      </c>
      <c r="D100" s="2488"/>
      <c r="E100" s="2230"/>
      <c r="F100" s="2409"/>
      <c r="G100" s="2453"/>
      <c r="H100" s="1507"/>
      <c r="I100" s="658" t="s">
        <v>1196</v>
      </c>
      <c r="J100" s="578"/>
      <c r="K100" s="1507"/>
      <c r="L100" s="221"/>
      <c r="M100" s="348"/>
      <c r="N100" s="341"/>
      <c r="O100" s="1631"/>
      <c r="P100" s="1631"/>
      <c r="AH100" s="1638">
        <v>0</v>
      </c>
    </row>
    <row s="1642" customFormat="1" customHeight="1" ht="0.75" hidden="1">
      <c r="A101" s="1786"/>
      <c r="B101" s="1786"/>
      <c r="C101" s="376" t="s">
        <v>1204</v>
      </c>
      <c r="D101" s="2488"/>
      <c r="E101" s="2230"/>
      <c r="F101" s="2409"/>
      <c r="G101" s="407"/>
      <c r="H101" s="1507"/>
      <c r="I101" s="658"/>
      <c r="J101" s="578"/>
      <c r="K101" s="1507"/>
      <c r="L101" s="221"/>
      <c r="M101" s="348"/>
      <c r="N101" s="341"/>
      <c r="O101" s="1631"/>
      <c r="P101" s="1631"/>
      <c r="AH101" s="1638">
        <v>0</v>
      </c>
    </row>
    <row s="1642" customFormat="1" customHeight="1" ht="18.75" hidden="1">
      <c r="A102" s="1786" t="s">
        <v>186</v>
      </c>
      <c r="B102" s="1786" t="s">
        <v>187</v>
      </c>
      <c r="C102" s="376"/>
      <c r="D102" s="2488"/>
      <c r="E102" s="2230"/>
      <c r="F102" s="2409" t="str">
        <f>INDEX(PT_DIFFERENTIATION_VTAR,MATCH(A102,PT_DIFFERENTIATION_VTAR_ID,0))</f>
        <v>Тарифы на услуги по передаче теплоносителя</v>
      </c>
      <c r="G102" s="2453" t="str">
        <f>INDEX(PT_DIFFERENTIATION_NTAR,MATCH(B102,PT_DIFFERENTIATION_NTAR_ID,0))</f>
        <v/>
      </c>
      <c r="H102" s="1866"/>
      <c r="I102" s="1745"/>
      <c r="J102" s="1779"/>
      <c r="K102" s="1784"/>
      <c r="L102" s="1866" t="s">
        <v>305</v>
      </c>
      <c r="M102" s="348"/>
      <c r="N102" s="341"/>
      <c r="O102" s="1631"/>
      <c r="P102" s="1631"/>
      <c r="AH102" s="1638">
        <v>0</v>
      </c>
    </row>
    <row s="1642" customFormat="1" customHeight="1" ht="18.75" hidden="1">
      <c r="A103" s="1786"/>
      <c r="B103" s="1786"/>
      <c r="C103" s="376" t="s">
        <v>1197</v>
      </c>
      <c r="D103" s="2488"/>
      <c r="E103" s="2230"/>
      <c r="F103" s="2409"/>
      <c r="G103" s="2453"/>
      <c r="H103" s="1507"/>
      <c r="I103" s="658" t="s">
        <v>1196</v>
      </c>
      <c r="J103" s="578"/>
      <c r="K103" s="1507"/>
      <c r="L103" s="221"/>
      <c r="M103" s="348"/>
      <c r="N103" s="341"/>
      <c r="O103" s="1631"/>
      <c r="P103" s="1631"/>
      <c r="AH103" s="1638">
        <v>0</v>
      </c>
    </row>
    <row s="1642" customFormat="1" customHeight="1" ht="0.75" hidden="1">
      <c r="A104" s="1786"/>
      <c r="B104" s="1786"/>
      <c r="C104" s="376" t="s">
        <v>1204</v>
      </c>
      <c r="D104" s="2488"/>
      <c r="E104" s="2230"/>
      <c r="F104" s="2409"/>
      <c r="G104" s="407"/>
      <c r="H104" s="1507"/>
      <c r="I104" s="658"/>
      <c r="J104" s="578"/>
      <c r="K104" s="1507"/>
      <c r="L104" s="221"/>
      <c r="M104" s="348"/>
      <c r="N104" s="341"/>
      <c r="O104" s="1631"/>
      <c r="P104" s="1631"/>
      <c r="AH104" s="1638">
        <v>0</v>
      </c>
    </row>
    <row s="1642" customFormat="1" customHeight="1" ht="18.75" hidden="1">
      <c r="A105" s="1786" t="s">
        <v>192</v>
      </c>
      <c r="B105" s="1786" t="s">
        <v>193</v>
      </c>
      <c r="C105" s="376"/>
      <c r="D105" s="2488"/>
      <c r="E105" s="2230"/>
      <c r="F105" s="24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6"/>
      <c r="I105" s="1745"/>
      <c r="J105" s="1779"/>
      <c r="K105" s="1784"/>
      <c r="L105" s="1866" t="s">
        <v>305</v>
      </c>
      <c r="M105" s="348"/>
      <c r="N105" s="341"/>
      <c r="O105" s="1631"/>
      <c r="P105" s="1631"/>
      <c r="AH105" s="1638">
        <v>0</v>
      </c>
    </row>
    <row s="1642" customFormat="1" customHeight="1" ht="18.75" hidden="1">
      <c r="A106" s="1786"/>
      <c r="B106" s="1786"/>
      <c r="C106" s="376" t="s">
        <v>1197</v>
      </c>
      <c r="D106" s="2488"/>
      <c r="E106" s="2230"/>
      <c r="F106" s="2409"/>
      <c r="G106" s="2453"/>
      <c r="H106" s="1507"/>
      <c r="I106" s="658" t="s">
        <v>1196</v>
      </c>
      <c r="J106" s="578"/>
      <c r="K106" s="1507"/>
      <c r="L106" s="221"/>
      <c r="M106" s="348"/>
      <c r="N106" s="341"/>
      <c r="O106" s="1631"/>
      <c r="P106" s="1631"/>
      <c r="AH106" s="1638">
        <v>0</v>
      </c>
    </row>
    <row s="1642" customFormat="1" customHeight="1" ht="0.75" hidden="1">
      <c r="A107" s="1786"/>
      <c r="B107" s="1786"/>
      <c r="C107" s="376" t="s">
        <v>1204</v>
      </c>
      <c r="D107" s="2488"/>
      <c r="E107" s="2230"/>
      <c r="F107" s="2409"/>
      <c r="G107" s="407"/>
      <c r="H107" s="1507"/>
      <c r="I107" s="658"/>
      <c r="J107" s="578"/>
      <c r="K107" s="1507"/>
      <c r="L107" s="221"/>
      <c r="M107" s="348"/>
      <c r="N107" s="341"/>
      <c r="O107" s="1631"/>
      <c r="P107" s="1631"/>
      <c r="AH107" s="1638">
        <v>0</v>
      </c>
    </row>
    <row s="1642" customFormat="1" customHeight="1" ht="18.75" hidden="1">
      <c r="A108" s="1786" t="s">
        <v>198</v>
      </c>
      <c r="B108" s="1786" t="s">
        <v>199</v>
      </c>
      <c r="C108" s="376"/>
      <c r="D108" s="2488"/>
      <c r="E108" s="2230"/>
      <c r="F108" s="2409"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6"/>
      <c r="I108" s="1745"/>
      <c r="J108" s="1779"/>
      <c r="K108" s="1784"/>
      <c r="L108" s="1866" t="s">
        <v>305</v>
      </c>
      <c r="M108" s="348"/>
      <c r="N108" s="341"/>
      <c r="O108" s="1631"/>
      <c r="P108" s="1631"/>
      <c r="AH108" s="1638">
        <v>0</v>
      </c>
    </row>
    <row s="1642" customFormat="1" customHeight="1" ht="18.75" hidden="1">
      <c r="A109" s="1786"/>
      <c r="B109" s="1786"/>
      <c r="C109" s="376" t="s">
        <v>1197</v>
      </c>
      <c r="D109" s="2488"/>
      <c r="E109" s="2230"/>
      <c r="F109" s="2409"/>
      <c r="G109" s="2453"/>
      <c r="H109" s="1507"/>
      <c r="I109" s="658" t="s">
        <v>1196</v>
      </c>
      <c r="J109" s="578"/>
      <c r="K109" s="1507"/>
      <c r="L109" s="221"/>
      <c r="M109" s="348"/>
      <c r="N109" s="341"/>
      <c r="O109" s="1631"/>
      <c r="P109" s="1631"/>
      <c r="AH109" s="1638">
        <v>0</v>
      </c>
    </row>
    <row s="1642" customFormat="1" customHeight="1" ht="0.75" hidden="1">
      <c r="A110" s="1786"/>
      <c r="B110" s="1786"/>
      <c r="C110" s="376" t="s">
        <v>1204</v>
      </c>
      <c r="D110" s="2488"/>
      <c r="E110" s="2230"/>
      <c r="F110" s="2409"/>
      <c r="G110" s="407"/>
      <c r="H110" s="1507"/>
      <c r="I110" s="658"/>
      <c r="J110" s="578"/>
      <c r="K110" s="1507"/>
      <c r="L110" s="221"/>
      <c r="M110" s="348"/>
      <c r="N110" s="341"/>
      <c r="O110" s="1631"/>
      <c r="P110" s="1631"/>
      <c r="AH110" s="1638">
        <v>0</v>
      </c>
    </row>
    <row s="1642" customFormat="1" customHeight="1" ht="18.75" hidden="1">
      <c r="A111" s="1786" t="s">
        <v>204</v>
      </c>
      <c r="B111" s="1786" t="s">
        <v>205</v>
      </c>
      <c r="C111" s="376"/>
      <c r="D111" s="2488"/>
      <c r="E111" s="2230"/>
      <c r="F111" s="2409"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93"/>
      <c r="I111" s="1745"/>
      <c r="J111" s="1779"/>
      <c r="K111" s="1784"/>
      <c r="L111" s="1993" t="s">
        <v>305</v>
      </c>
      <c r="M111" s="348"/>
      <c r="N111" s="341"/>
      <c r="O111" s="1631"/>
      <c r="P111" s="1631"/>
      <c r="AH111" s="1638">
        <v>0</v>
      </c>
    </row>
    <row s="1642" customFormat="1" customHeight="1" ht="18.75" hidden="1">
      <c r="A112" s="1786"/>
      <c r="B112" s="1786"/>
      <c r="C112" s="376" t="s">
        <v>1197</v>
      </c>
      <c r="D112" s="2488"/>
      <c r="E112" s="2230"/>
      <c r="F112" s="2409"/>
      <c r="G112" s="2453"/>
      <c r="H112" s="1507"/>
      <c r="I112" s="658" t="s">
        <v>1196</v>
      </c>
      <c r="J112" s="578"/>
      <c r="K112" s="1507"/>
      <c r="L112" s="221"/>
      <c r="M112" s="348"/>
      <c r="N112" s="341"/>
      <c r="O112" s="1631"/>
      <c r="P112" s="1631"/>
      <c r="AH112" s="1638">
        <v>0</v>
      </c>
    </row>
    <row s="1642" customFormat="1" customHeight="1" ht="0.75" hidden="1">
      <c r="A113" s="1786"/>
      <c r="B113" s="1786"/>
      <c r="C113" s="376" t="s">
        <v>1204</v>
      </c>
      <c r="D113" s="2488"/>
      <c r="E113" s="2230"/>
      <c r="F113" s="2409"/>
      <c r="G113" s="407"/>
      <c r="H113" s="1507"/>
      <c r="I113" s="658"/>
      <c r="J113" s="578"/>
      <c r="K113" s="1507"/>
      <c r="L113" s="221"/>
      <c r="M113" s="348"/>
      <c r="N113" s="341"/>
      <c r="O113" s="1631"/>
      <c r="P113" s="1631"/>
      <c r="AH113" s="1638">
        <v>0</v>
      </c>
    </row>
    <row s="1642" customFormat="1" customHeight="1" ht="18.75" hidden="1">
      <c r="A114" s="1786" t="s">
        <v>224</v>
      </c>
      <c r="B114" s="1786" t="s">
        <v>225</v>
      </c>
      <c r="C114" s="376"/>
      <c r="D114" s="2488"/>
      <c r="E114" s="2230"/>
      <c r="F114" s="2409" t="str">
        <f>INDEX(PT_DIFFERENTIATION_VTAR,MATCH(A114,PT_DIFFERENTIATION_VTAR_ID,0))</f>
        <v>Тариф на питьевую воду (питьевое водоснабжение)</v>
      </c>
      <c r="G114" s="2453" t="str">
        <f>INDEX(PT_DIFFERENTIATION_NTAR,MATCH(B114,PT_DIFFERENTIATION_NTAR_ID,0))</f>
        <v/>
      </c>
      <c r="H114" s="1866"/>
      <c r="I114" s="1745"/>
      <c r="J114" s="1779"/>
      <c r="K114" s="1784"/>
      <c r="L114" s="1866" t="s">
        <v>305</v>
      </c>
      <c r="M114" s="348"/>
      <c r="N114" s="341"/>
      <c r="O114" s="1631"/>
      <c r="P114" s="1631"/>
      <c r="AH114" s="1638">
        <v>0</v>
      </c>
    </row>
    <row s="1642" customFormat="1" customHeight="1" ht="18.75" hidden="1">
      <c r="A115" s="1786"/>
      <c r="B115" s="1786"/>
      <c r="C115" s="376" t="s">
        <v>1197</v>
      </c>
      <c r="D115" s="2488"/>
      <c r="E115" s="2230"/>
      <c r="F115" s="2409"/>
      <c r="G115" s="2453"/>
      <c r="H115" s="1507"/>
      <c r="I115" s="658" t="s">
        <v>1196</v>
      </c>
      <c r="J115" s="578"/>
      <c r="K115" s="1507"/>
      <c r="L115" s="221"/>
      <c r="M115" s="348"/>
      <c r="N115" s="341"/>
      <c r="O115" s="1631"/>
      <c r="P115" s="1631"/>
      <c r="AH115" s="1638">
        <v>0</v>
      </c>
    </row>
    <row s="1642" customFormat="1" customHeight="1" ht="0.75" hidden="1">
      <c r="A116" s="1786"/>
      <c r="B116" s="1786"/>
      <c r="C116" s="376" t="s">
        <v>1204</v>
      </c>
      <c r="D116" s="2488"/>
      <c r="E116" s="2230"/>
      <c r="F116" s="2409"/>
      <c r="G116" s="407"/>
      <c r="H116" s="1507"/>
      <c r="I116" s="658"/>
      <c r="J116" s="578"/>
      <c r="K116" s="1507"/>
      <c r="L116" s="221"/>
      <c r="M116" s="348"/>
      <c r="N116" s="341"/>
      <c r="O116" s="1631"/>
      <c r="P116" s="1631"/>
      <c r="AH116" s="1638">
        <v>0</v>
      </c>
    </row>
    <row s="1642" customFormat="1" customHeight="1" ht="18.75" hidden="1">
      <c r="A117" s="1786" t="s">
        <v>229</v>
      </c>
      <c r="B117" s="1786" t="s">
        <v>230</v>
      </c>
      <c r="C117" s="376"/>
      <c r="D117" s="2488"/>
      <c r="E117" s="2230"/>
      <c r="F117" s="2409" t="str">
        <f>INDEX(PT_DIFFERENTIATION_VTAR,MATCH(A117,PT_DIFFERENTIATION_VTAR_ID,0))</f>
        <v>Тариф на техническую воду</v>
      </c>
      <c r="G117" s="2453" t="str">
        <f>INDEX(PT_DIFFERENTIATION_NTAR,MATCH(B117,PT_DIFFERENTIATION_NTAR_ID,0))</f>
        <v/>
      </c>
      <c r="H117" s="1866"/>
      <c r="I117" s="1745"/>
      <c r="J117" s="1779"/>
      <c r="K117" s="1784"/>
      <c r="L117" s="1866" t="s">
        <v>305</v>
      </c>
      <c r="M117" s="348"/>
      <c r="N117" s="341"/>
      <c r="O117" s="1631"/>
      <c r="P117" s="1631"/>
      <c r="AH117" s="1638">
        <v>0</v>
      </c>
    </row>
    <row s="1642" customFormat="1" customHeight="1" ht="18.75" hidden="1">
      <c r="A118" s="1786"/>
      <c r="B118" s="1786"/>
      <c r="C118" s="376" t="s">
        <v>1197</v>
      </c>
      <c r="D118" s="2488"/>
      <c r="E118" s="2230"/>
      <c r="F118" s="2409"/>
      <c r="G118" s="2453"/>
      <c r="H118" s="1507"/>
      <c r="I118" s="658" t="s">
        <v>1196</v>
      </c>
      <c r="J118" s="578"/>
      <c r="K118" s="1507"/>
      <c r="L118" s="221"/>
      <c r="M118" s="348"/>
      <c r="N118" s="341"/>
      <c r="O118" s="1631"/>
      <c r="P118" s="1631"/>
      <c r="AH118" s="1638">
        <v>0</v>
      </c>
    </row>
    <row s="1642" customFormat="1" customHeight="1" ht="0.75" hidden="1">
      <c r="A119" s="1786"/>
      <c r="B119" s="1786"/>
      <c r="C119" s="376" t="s">
        <v>1204</v>
      </c>
      <c r="D119" s="2488"/>
      <c r="E119" s="2230"/>
      <c r="F119" s="2409"/>
      <c r="G119" s="407"/>
      <c r="H119" s="1507"/>
      <c r="I119" s="658"/>
      <c r="J119" s="578"/>
      <c r="K119" s="1507"/>
      <c r="L119" s="221"/>
      <c r="M119" s="348"/>
      <c r="N119" s="341"/>
      <c r="O119" s="1631"/>
      <c r="P119" s="1631"/>
      <c r="AH119" s="1638">
        <v>0</v>
      </c>
    </row>
    <row s="1642" customFormat="1" customHeight="1" ht="18.75" hidden="1">
      <c r="A120" s="1786" t="s">
        <v>234</v>
      </c>
      <c r="B120" s="1786" t="s">
        <v>235</v>
      </c>
      <c r="C120" s="376"/>
      <c r="D120" s="2488"/>
      <c r="E120" s="2230"/>
      <c r="F120" s="2409" t="str">
        <f>INDEX(PT_DIFFERENTIATION_VTAR,MATCH(A120,PT_DIFFERENTIATION_VTAR_ID,0))</f>
        <v>Тариф на транспортировку воды</v>
      </c>
      <c r="G120" s="2453" t="str">
        <f>INDEX(PT_DIFFERENTIATION_NTAR,MATCH(B120,PT_DIFFERENTIATION_NTAR_ID,0))</f>
        <v/>
      </c>
      <c r="H120" s="1866"/>
      <c r="I120" s="1745"/>
      <c r="J120" s="1779"/>
      <c r="K120" s="1784"/>
      <c r="L120" s="1866" t="s">
        <v>305</v>
      </c>
      <c r="M120" s="348"/>
      <c r="N120" s="341"/>
      <c r="O120" s="1631"/>
      <c r="P120" s="1631"/>
      <c r="AH120" s="1638">
        <v>0</v>
      </c>
    </row>
    <row s="1642" customFormat="1" customHeight="1" ht="18.75" hidden="1">
      <c r="A121" s="1786"/>
      <c r="B121" s="1786"/>
      <c r="C121" s="376" t="s">
        <v>1197</v>
      </c>
      <c r="D121" s="2488"/>
      <c r="E121" s="2230"/>
      <c r="F121" s="2409"/>
      <c r="G121" s="2453"/>
      <c r="H121" s="1507"/>
      <c r="I121" s="658" t="s">
        <v>1196</v>
      </c>
      <c r="J121" s="578"/>
      <c r="K121" s="1507"/>
      <c r="L121" s="221"/>
      <c r="M121" s="348"/>
      <c r="N121" s="341"/>
      <c r="O121" s="1631"/>
      <c r="P121" s="1631"/>
      <c r="AH121" s="1638">
        <v>0</v>
      </c>
    </row>
    <row s="1642" customFormat="1" customHeight="1" ht="0.75" hidden="1">
      <c r="A122" s="1786"/>
      <c r="B122" s="1786"/>
      <c r="C122" s="376" t="s">
        <v>1204</v>
      </c>
      <c r="D122" s="2488"/>
      <c r="E122" s="2230"/>
      <c r="F122" s="2409"/>
      <c r="G122" s="407"/>
      <c r="H122" s="1507"/>
      <c r="I122" s="658"/>
      <c r="J122" s="578"/>
      <c r="K122" s="1507"/>
      <c r="L122" s="221"/>
      <c r="M122" s="348"/>
      <c r="N122" s="341"/>
      <c r="O122" s="1631"/>
      <c r="P122" s="1631"/>
      <c r="AH122" s="1638">
        <v>0</v>
      </c>
    </row>
    <row s="1642" customFormat="1" customHeight="1" ht="18.75" hidden="1">
      <c r="A123" s="1786" t="s">
        <v>239</v>
      </c>
      <c r="B123" s="1786" t="s">
        <v>240</v>
      </c>
      <c r="C123" s="376"/>
      <c r="D123" s="2488"/>
      <c r="E123" s="2230"/>
      <c r="F123" s="2409" t="str">
        <f>INDEX(PT_DIFFERENTIATION_VTAR,MATCH(A123,PT_DIFFERENTIATION_VTAR_ID,0))</f>
        <v>Тариф на подвоз воды</v>
      </c>
      <c r="G123" s="2453" t="str">
        <f>INDEX(PT_DIFFERENTIATION_NTAR,MATCH(B123,PT_DIFFERENTIATION_NTAR_ID,0))</f>
        <v/>
      </c>
      <c r="H123" s="1866"/>
      <c r="I123" s="1745"/>
      <c r="J123" s="1779"/>
      <c r="K123" s="1784"/>
      <c r="L123" s="1866" t="s">
        <v>305</v>
      </c>
      <c r="M123" s="348"/>
      <c r="N123" s="341"/>
      <c r="O123" s="1631"/>
      <c r="P123" s="1631"/>
      <c r="AH123" s="1638">
        <v>0</v>
      </c>
    </row>
    <row s="1642" customFormat="1" customHeight="1" ht="18.75" hidden="1">
      <c r="A124" s="1786"/>
      <c r="B124" s="1786"/>
      <c r="C124" s="376" t="s">
        <v>1197</v>
      </c>
      <c r="D124" s="2488"/>
      <c r="E124" s="2230"/>
      <c r="F124" s="2409"/>
      <c r="G124" s="2453"/>
      <c r="H124" s="1507"/>
      <c r="I124" s="658" t="s">
        <v>1196</v>
      </c>
      <c r="J124" s="578"/>
      <c r="K124" s="1507"/>
      <c r="L124" s="221"/>
      <c r="M124" s="348"/>
      <c r="N124" s="341"/>
      <c r="O124" s="1631"/>
      <c r="P124" s="1631"/>
      <c r="AH124" s="1638">
        <v>0</v>
      </c>
    </row>
    <row s="1642" customFormat="1" customHeight="1" ht="0.75" hidden="1">
      <c r="A125" s="1786"/>
      <c r="B125" s="1786"/>
      <c r="C125" s="376" t="s">
        <v>1204</v>
      </c>
      <c r="D125" s="2488"/>
      <c r="E125" s="2230"/>
      <c r="F125" s="2409"/>
      <c r="G125" s="407"/>
      <c r="H125" s="1507"/>
      <c r="I125" s="658"/>
      <c r="J125" s="578"/>
      <c r="K125" s="1507"/>
      <c r="L125" s="221"/>
      <c r="M125" s="348"/>
      <c r="N125" s="341"/>
      <c r="O125" s="1631"/>
      <c r="P125" s="1631"/>
      <c r="AH125" s="1638">
        <v>0</v>
      </c>
    </row>
    <row s="1642" customFormat="1" customHeight="1" ht="18.75" hidden="1">
      <c r="A126" s="1786" t="s">
        <v>244</v>
      </c>
      <c r="B126" s="1786" t="s">
        <v>245</v>
      </c>
      <c r="C126" s="376"/>
      <c r="D126" s="2488"/>
      <c r="E126" s="2230"/>
      <c r="F126" s="24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6"/>
      <c r="I126" s="1745"/>
      <c r="J126" s="1779"/>
      <c r="K126" s="1784"/>
      <c r="L126" s="1866" t="s">
        <v>305</v>
      </c>
      <c r="M126" s="348"/>
      <c r="N126" s="341"/>
      <c r="O126" s="1631"/>
      <c r="P126" s="1631"/>
      <c r="AH126" s="1638">
        <v>0</v>
      </c>
    </row>
    <row s="1642" customFormat="1" customHeight="1" ht="18.75" hidden="1">
      <c r="A127" s="1786"/>
      <c r="B127" s="1786"/>
      <c r="C127" s="376" t="s">
        <v>1197</v>
      </c>
      <c r="D127" s="2488"/>
      <c r="E127" s="2230"/>
      <c r="F127" s="2409"/>
      <c r="G127" s="2453"/>
      <c r="H127" s="1507"/>
      <c r="I127" s="658" t="s">
        <v>1196</v>
      </c>
      <c r="J127" s="578"/>
      <c r="K127" s="1507"/>
      <c r="L127" s="221"/>
      <c r="M127" s="348"/>
      <c r="N127" s="341"/>
      <c r="O127" s="1631"/>
      <c r="P127" s="1631"/>
      <c r="AH127" s="1638">
        <v>0</v>
      </c>
    </row>
    <row s="1642" customFormat="1" customHeight="1" ht="0.75" hidden="1">
      <c r="A128" s="1786"/>
      <c r="B128" s="1786"/>
      <c r="C128" s="376" t="s">
        <v>1204</v>
      </c>
      <c r="D128" s="2488"/>
      <c r="E128" s="2230"/>
      <c r="F128" s="2409"/>
      <c r="G128" s="407"/>
      <c r="H128" s="1507"/>
      <c r="I128" s="658"/>
      <c r="J128" s="578"/>
      <c r="K128" s="1507"/>
      <c r="L128" s="221"/>
      <c r="M128" s="348"/>
      <c r="N128" s="341"/>
      <c r="O128" s="1631"/>
      <c r="P128" s="1631"/>
      <c r="AH128" s="1638">
        <v>0</v>
      </c>
    </row>
    <row s="1642" customFormat="1" customHeight="1" ht="18.75" hidden="1">
      <c r="A129" s="1786" t="s">
        <v>249</v>
      </c>
      <c r="B129" s="1786" t="s">
        <v>250</v>
      </c>
      <c r="C129" s="376"/>
      <c r="D129" s="2488"/>
      <c r="E129" s="2230"/>
      <c r="F129" s="2409" t="str">
        <f>INDEX(PT_DIFFERENTIATION_VTAR,MATCH(A129,PT_DIFFERENTIATION_VTAR_ID,0))</f>
        <v>Тариф на горячую воду (горячее водоснабжение)</v>
      </c>
      <c r="G129" s="2453" t="str">
        <f>INDEX(PT_DIFFERENTIATION_NTAR,MATCH(B129,PT_DIFFERENTIATION_NTAR_ID,0))</f>
        <v/>
      </c>
      <c r="H129" s="1866"/>
      <c r="I129" s="1745"/>
      <c r="J129" s="1779"/>
      <c r="K129" s="1784"/>
      <c r="L129" s="1866" t="s">
        <v>305</v>
      </c>
      <c r="M129" s="348"/>
      <c r="N129" s="341"/>
      <c r="O129" s="1631"/>
      <c r="P129" s="1631"/>
      <c r="AH129" s="1638">
        <v>0</v>
      </c>
    </row>
    <row s="1642" customFormat="1" customHeight="1" ht="18.75" hidden="1">
      <c r="A130" s="1786"/>
      <c r="B130" s="1786"/>
      <c r="C130" s="376" t="s">
        <v>1197</v>
      </c>
      <c r="D130" s="2488"/>
      <c r="E130" s="2230"/>
      <c r="F130" s="2409"/>
      <c r="G130" s="2453"/>
      <c r="H130" s="1507"/>
      <c r="I130" s="658" t="s">
        <v>1196</v>
      </c>
      <c r="J130" s="578"/>
      <c r="K130" s="1507"/>
      <c r="L130" s="221"/>
      <c r="M130" s="348"/>
      <c r="N130" s="341"/>
      <c r="O130" s="1631"/>
      <c r="P130" s="1631"/>
      <c r="AH130" s="1638">
        <v>0</v>
      </c>
    </row>
    <row s="1642" customFormat="1" customHeight="1" ht="0.75" hidden="1">
      <c r="A131" s="1786"/>
      <c r="B131" s="1786"/>
      <c r="C131" s="376" t="s">
        <v>1204</v>
      </c>
      <c r="D131" s="2488"/>
      <c r="E131" s="2230"/>
      <c r="F131" s="2409"/>
      <c r="G131" s="407"/>
      <c r="H131" s="1507"/>
      <c r="I131" s="658"/>
      <c r="J131" s="578"/>
      <c r="K131" s="1507"/>
      <c r="L131" s="221"/>
      <c r="M131" s="348"/>
      <c r="N131" s="341"/>
      <c r="O131" s="1631"/>
      <c r="P131" s="1631"/>
      <c r="AH131" s="1638">
        <v>0</v>
      </c>
    </row>
    <row s="1642" customFormat="1" customHeight="1" ht="18.75" hidden="1">
      <c r="A132" s="1786" t="s">
        <v>254</v>
      </c>
      <c r="B132" s="1786" t="s">
        <v>255</v>
      </c>
      <c r="C132" s="376"/>
      <c r="D132" s="2488"/>
      <c r="E132" s="2230"/>
      <c r="F132" s="2409" t="str">
        <f>INDEX(PT_DIFFERENTIATION_VTAR,MATCH(A132,PT_DIFFERENTIATION_VTAR_ID,0))</f>
        <v>Тариф на транспортировку горячей воды</v>
      </c>
      <c r="G132" s="2453" t="str">
        <f>INDEX(PT_DIFFERENTIATION_NTAR,MATCH(B132,PT_DIFFERENTIATION_NTAR_ID,0))</f>
        <v/>
      </c>
      <c r="H132" s="1866"/>
      <c r="I132" s="1745"/>
      <c r="J132" s="1779"/>
      <c r="K132" s="1784"/>
      <c r="L132" s="1866" t="s">
        <v>305</v>
      </c>
      <c r="M132" s="348"/>
      <c r="N132" s="341"/>
      <c r="O132" s="1631"/>
      <c r="P132" s="1631"/>
      <c r="AH132" s="1638">
        <v>0</v>
      </c>
    </row>
    <row s="1642" customFormat="1" customHeight="1" ht="18.75" hidden="1">
      <c r="A133" s="1786"/>
      <c r="B133" s="1786"/>
      <c r="C133" s="376" t="s">
        <v>1197</v>
      </c>
      <c r="D133" s="2488"/>
      <c r="E133" s="2230"/>
      <c r="F133" s="2409"/>
      <c r="G133" s="2453"/>
      <c r="H133" s="1507"/>
      <c r="I133" s="658" t="s">
        <v>1196</v>
      </c>
      <c r="J133" s="578"/>
      <c r="K133" s="1507"/>
      <c r="L133" s="221"/>
      <c r="M133" s="348"/>
      <c r="N133" s="341"/>
      <c r="O133" s="1631"/>
      <c r="P133" s="1631"/>
      <c r="AH133" s="1638">
        <v>0</v>
      </c>
    </row>
    <row s="1642" customFormat="1" customHeight="1" ht="0.75" hidden="1">
      <c r="A134" s="1786"/>
      <c r="B134" s="1786"/>
      <c r="C134" s="376" t="s">
        <v>1204</v>
      </c>
      <c r="D134" s="2488"/>
      <c r="E134" s="2230"/>
      <c r="F134" s="2409"/>
      <c r="G134" s="407"/>
      <c r="H134" s="1507"/>
      <c r="I134" s="658"/>
      <c r="J134" s="578"/>
      <c r="K134" s="1507"/>
      <c r="L134" s="221"/>
      <c r="M134" s="348"/>
      <c r="N134" s="341"/>
      <c r="O134" s="1631"/>
      <c r="P134" s="1631"/>
      <c r="AH134" s="1638">
        <v>0</v>
      </c>
    </row>
    <row s="1642" customFormat="1" customHeight="1" ht="18.75" hidden="1">
      <c r="A135" s="1786" t="s">
        <v>259</v>
      </c>
      <c r="B135" s="1786" t="s">
        <v>260</v>
      </c>
      <c r="C135" s="376"/>
      <c r="D135" s="2488"/>
      <c r="E135" s="2230"/>
      <c r="F135" s="240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6"/>
      <c r="I135" s="1745"/>
      <c r="J135" s="1779"/>
      <c r="K135" s="1784"/>
      <c r="L135" s="1866" t="s">
        <v>305</v>
      </c>
      <c r="M135" s="348"/>
      <c r="N135" s="341"/>
      <c r="O135" s="1631"/>
      <c r="P135" s="1631"/>
      <c r="AH135" s="1638">
        <v>0</v>
      </c>
    </row>
    <row s="1642" customFormat="1" customHeight="1" ht="18.75" hidden="1">
      <c r="A136" s="1786"/>
      <c r="B136" s="1786"/>
      <c r="C136" s="376" t="s">
        <v>1197</v>
      </c>
      <c r="D136" s="2488"/>
      <c r="E136" s="2230"/>
      <c r="F136" s="2409"/>
      <c r="G136" s="2453"/>
      <c r="H136" s="1507"/>
      <c r="I136" s="658" t="s">
        <v>1196</v>
      </c>
      <c r="J136" s="578"/>
      <c r="K136" s="1507"/>
      <c r="L136" s="221"/>
      <c r="M136" s="348"/>
      <c r="N136" s="341"/>
      <c r="O136" s="1631"/>
      <c r="P136" s="1631"/>
      <c r="AH136" s="1638">
        <v>0</v>
      </c>
    </row>
    <row s="1642" customFormat="1" customHeight="1" ht="0.75" hidden="1">
      <c r="A137" s="1786"/>
      <c r="B137" s="1786"/>
      <c r="C137" s="376" t="s">
        <v>1204</v>
      </c>
      <c r="D137" s="2488"/>
      <c r="E137" s="2230"/>
      <c r="F137" s="2409"/>
      <c r="G137" s="407"/>
      <c r="H137" s="1507"/>
      <c r="I137" s="658"/>
      <c r="J137" s="578"/>
      <c r="K137" s="1507"/>
      <c r="L137" s="221"/>
      <c r="M137" s="348"/>
      <c r="N137" s="341"/>
      <c r="O137" s="1631"/>
      <c r="P137" s="1631"/>
      <c r="AH137" s="1638">
        <v>0</v>
      </c>
    </row>
    <row s="1642" customFormat="1" customHeight="1" ht="18.75" hidden="1">
      <c r="A138" s="1786" t="s">
        <v>264</v>
      </c>
      <c r="B138" s="1786" t="s">
        <v>265</v>
      </c>
      <c r="C138" s="376"/>
      <c r="D138" s="2488"/>
      <c r="E138" s="2230"/>
      <c r="F138" s="2409" t="str">
        <f>INDEX(PT_DIFFERENTIATION_VTAR,MATCH(A138,PT_DIFFERENTIATION_VTAR_ID,0))</f>
        <v>Тариф на водоотведение</v>
      </c>
      <c r="G138" s="2453" t="str">
        <f>INDEX(PT_DIFFERENTIATION_NTAR,MATCH(B138,PT_DIFFERENTIATION_NTAR_ID,0))</f>
        <v/>
      </c>
      <c r="H138" s="1866"/>
      <c r="I138" s="1745"/>
      <c r="J138" s="1779"/>
      <c r="K138" s="1784"/>
      <c r="L138" s="1866" t="s">
        <v>305</v>
      </c>
      <c r="M138" s="348"/>
      <c r="N138" s="341"/>
      <c r="O138" s="1631"/>
      <c r="P138" s="1631"/>
      <c r="AH138" s="1638">
        <v>0</v>
      </c>
    </row>
    <row s="1642" customFormat="1" customHeight="1" ht="18.75" hidden="1">
      <c r="A139" s="1786"/>
      <c r="B139" s="1786"/>
      <c r="C139" s="376" t="s">
        <v>1197</v>
      </c>
      <c r="D139" s="2488"/>
      <c r="E139" s="2230"/>
      <c r="F139" s="2409"/>
      <c r="G139" s="2453"/>
      <c r="H139" s="1507"/>
      <c r="I139" s="658" t="s">
        <v>1196</v>
      </c>
      <c r="J139" s="578"/>
      <c r="K139" s="1507"/>
      <c r="L139" s="221"/>
      <c r="M139" s="348"/>
      <c r="N139" s="341"/>
      <c r="O139" s="1631"/>
      <c r="P139" s="1631"/>
      <c r="AH139" s="1638">
        <v>0</v>
      </c>
    </row>
    <row s="1642" customFormat="1" customHeight="1" ht="0.75" hidden="1">
      <c r="A140" s="1786"/>
      <c r="B140" s="1786"/>
      <c r="C140" s="376" t="s">
        <v>1204</v>
      </c>
      <c r="D140" s="2488"/>
      <c r="E140" s="2230"/>
      <c r="F140" s="2409"/>
      <c r="G140" s="407"/>
      <c r="H140" s="1507"/>
      <c r="I140" s="658"/>
      <c r="J140" s="578"/>
      <c r="K140" s="1507"/>
      <c r="L140" s="221"/>
      <c r="M140" s="348"/>
      <c r="N140" s="341"/>
      <c r="O140" s="1631"/>
      <c r="P140" s="1631"/>
      <c r="AH140" s="1638">
        <v>0</v>
      </c>
    </row>
    <row s="1642" customFormat="1" customHeight="1" ht="18.75" hidden="1">
      <c r="A141" s="1786" t="s">
        <v>269</v>
      </c>
      <c r="B141" s="1786" t="s">
        <v>270</v>
      </c>
      <c r="C141" s="376"/>
      <c r="D141" s="2488"/>
      <c r="E141" s="2230"/>
      <c r="F141" s="2409" t="str">
        <f>INDEX(PT_DIFFERENTIATION_VTAR,MATCH(A141,PT_DIFFERENTIATION_VTAR_ID,0))</f>
        <v>Тариф на транспортировку сточных вод</v>
      </c>
      <c r="G141" s="2453" t="str">
        <f>INDEX(PT_DIFFERENTIATION_NTAR,MATCH(B141,PT_DIFFERENTIATION_NTAR_ID,0))</f>
        <v/>
      </c>
      <c r="H141" s="1866"/>
      <c r="I141" s="1745"/>
      <c r="J141" s="1779"/>
      <c r="K141" s="1784"/>
      <c r="L141" s="1866" t="s">
        <v>305</v>
      </c>
      <c r="M141" s="348"/>
      <c r="N141" s="341"/>
      <c r="O141" s="1631"/>
      <c r="P141" s="1631"/>
      <c r="AH141" s="1638">
        <v>0</v>
      </c>
    </row>
    <row s="1642" customFormat="1" customHeight="1" ht="18.75" hidden="1">
      <c r="A142" s="1786"/>
      <c r="B142" s="1786"/>
      <c r="C142" s="376" t="s">
        <v>1197</v>
      </c>
      <c r="D142" s="2488"/>
      <c r="E142" s="2230"/>
      <c r="F142" s="2409"/>
      <c r="G142" s="2453"/>
      <c r="H142" s="1507"/>
      <c r="I142" s="658" t="s">
        <v>1196</v>
      </c>
      <c r="J142" s="578"/>
      <c r="K142" s="1507"/>
      <c r="L142" s="221"/>
      <c r="M142" s="348"/>
      <c r="N142" s="341"/>
      <c r="O142" s="1631"/>
      <c r="P142" s="1631"/>
      <c r="AH142" s="1638">
        <v>0</v>
      </c>
    </row>
    <row s="1642" customFormat="1" customHeight="1" ht="0.75" hidden="1">
      <c r="A143" s="1786"/>
      <c r="B143" s="1786"/>
      <c r="C143" s="376" t="s">
        <v>1204</v>
      </c>
      <c r="D143" s="2488"/>
      <c r="E143" s="2230"/>
      <c r="F143" s="2409"/>
      <c r="G143" s="407"/>
      <c r="H143" s="1507"/>
      <c r="I143" s="658"/>
      <c r="J143" s="578"/>
      <c r="K143" s="1507"/>
      <c r="L143" s="221"/>
      <c r="M143" s="348"/>
      <c r="N143" s="341"/>
      <c r="O143" s="1631"/>
      <c r="P143" s="1631"/>
      <c r="AH143" s="1638">
        <v>0</v>
      </c>
    </row>
    <row s="1642" customFormat="1" customHeight="1" ht="18.75" hidden="1">
      <c r="A144" s="1786" t="s">
        <v>274</v>
      </c>
      <c r="B144" s="1786" t="s">
        <v>275</v>
      </c>
      <c r="C144" s="376"/>
      <c r="D144" s="2488"/>
      <c r="E144" s="2230"/>
      <c r="F144" s="2409"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6"/>
      <c r="I144" s="1745"/>
      <c r="J144" s="1779"/>
      <c r="K144" s="1784"/>
      <c r="L144" s="1866" t="s">
        <v>305</v>
      </c>
      <c r="M144" s="348"/>
      <c r="N144" s="341"/>
      <c r="O144" s="1631"/>
      <c r="P144" s="1631"/>
      <c r="AH144" s="1638">
        <v>0</v>
      </c>
    </row>
    <row s="1642" customFormat="1" customHeight="1" ht="18.75" hidden="1">
      <c r="A145" s="1786"/>
      <c r="B145" s="1786"/>
      <c r="C145" s="376" t="s">
        <v>1197</v>
      </c>
      <c r="D145" s="2488"/>
      <c r="E145" s="2230"/>
      <c r="F145" s="2409"/>
      <c r="G145" s="2453"/>
      <c r="H145" s="1507"/>
      <c r="I145" s="658" t="s">
        <v>1196</v>
      </c>
      <c r="J145" s="578"/>
      <c r="K145" s="1507"/>
      <c r="L145" s="221"/>
      <c r="M145" s="348"/>
      <c r="N145" s="341"/>
      <c r="O145" s="1631"/>
      <c r="P145" s="1631"/>
      <c r="AH145" s="1638">
        <v>0</v>
      </c>
    </row>
    <row s="1642" customFormat="1" customHeight="1" ht="1.05">
      <c r="A146" s="1786"/>
      <c r="B146" s="1786"/>
      <c r="C146" s="376" t="s">
        <v>1204</v>
      </c>
      <c r="D146" s="2488"/>
      <c r="E146" s="2230"/>
      <c r="F146" s="2409"/>
      <c r="G146" s="407"/>
      <c r="H146" s="1507"/>
      <c r="I146" s="658"/>
      <c r="J146" s="578"/>
      <c r="K146" s="1507"/>
      <c r="L146" s="221"/>
      <c r="M146" s="348"/>
      <c r="N146" s="341"/>
      <c r="O146" s="1631"/>
      <c r="P146" s="1631"/>
      <c r="AH146" s="1638">
        <v>1</v>
      </c>
    </row>
    <row customHeight="1" ht="19.95">
      <c r="A147" s="1786"/>
      <c r="B147" s="1786"/>
      <c r="D147" s="383"/>
      <c r="E147" s="154" t="s">
        <v>91</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6"/>
      <c r="H147" s="2486"/>
      <c r="I147" s="2486"/>
      <c r="J147" s="2486"/>
      <c r="K147" s="2486"/>
      <c r="L147" s="2486"/>
      <c r="M147" s="304"/>
      <c r="N147" s="341"/>
      <c r="AH147" s="381">
        <v>19</v>
      </c>
    </row>
    <row s="1642" customFormat="1" customHeight="1" ht="60.75" hidden="1">
      <c r="A148" s="1786" t="s">
        <v>156</v>
      </c>
      <c r="B148" s="1786" t="s">
        <v>157</v>
      </c>
      <c r="C148" s="376"/>
      <c r="D148" s="2488"/>
      <c r="E148" s="2230"/>
      <c r="F148" s="240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6"/>
      <c r="I148" s="1745"/>
      <c r="J148" s="1779"/>
      <c r="K148" s="1784"/>
      <c r="L148" s="1866" t="s">
        <v>305</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1197</v>
      </c>
      <c r="D149" s="2488"/>
      <c r="E149" s="2230"/>
      <c r="F149" s="2409"/>
      <c r="G149" s="2453"/>
      <c r="H149" s="1507"/>
      <c r="I149" s="658" t="s">
        <v>1196</v>
      </c>
      <c r="J149" s="578"/>
      <c r="K149" s="1507"/>
      <c r="L149" s="221"/>
      <c r="M149" s="2196"/>
      <c r="N149" s="341"/>
      <c r="O149" s="1631"/>
      <c r="P149" s="1631"/>
      <c r="AH149" s="1638">
        <v>0</v>
      </c>
    </row>
    <row s="1642" customFormat="1" customHeight="1" ht="0.75" hidden="1">
      <c r="A150" s="1786"/>
      <c r="B150" s="1786"/>
      <c r="C150" s="376" t="s">
        <v>1204</v>
      </c>
      <c r="D150" s="2488"/>
      <c r="E150" s="2230"/>
      <c r="F150" s="2409"/>
      <c r="G150" s="407"/>
      <c r="H150" s="1507"/>
      <c r="I150" s="658"/>
      <c r="J150" s="578"/>
      <c r="K150" s="1507"/>
      <c r="L150" s="221"/>
      <c r="M150" s="2196"/>
      <c r="N150" s="341"/>
      <c r="O150" s="1631"/>
      <c r="P150" s="1631"/>
      <c r="AH150" s="1638">
        <v>0</v>
      </c>
    </row>
    <row s="1642" customFormat="1" customHeight="1" ht="45" hidden="1">
      <c r="A151" s="1786" t="s">
        <v>161</v>
      </c>
      <c r="B151" s="1786" t="s">
        <v>162</v>
      </c>
      <c r="C151" s="376"/>
      <c r="D151" s="2488"/>
      <c r="E151" s="2230"/>
      <c r="F151" s="2409" t="str">
        <f>INDEX(PT_DIFFERENTIATION_VTAR,MATCH(A151,PT_DIFFERENTIATION_VTAR_ID,0))</f>
        <v/>
      </c>
      <c r="G151" s="2453" t="str">
        <f>INDEX(PT_DIFFERENTIATION_NTAR,MATCH(B151,PT_DIFFERENTIATION_NTAR_ID,0))</f>
        <v/>
      </c>
      <c r="H151" s="1866"/>
      <c r="I151" s="1745"/>
      <c r="J151" s="1779"/>
      <c r="K151" s="1784"/>
      <c r="L151" s="1866" t="s">
        <v>305</v>
      </c>
      <c r="M151" s="2197"/>
      <c r="N151" s="341"/>
      <c r="O151" s="1631"/>
      <c r="P151" s="1631"/>
      <c r="AH151" s="1638">
        <v>0</v>
      </c>
    </row>
    <row s="1642" customFormat="1" customHeight="1" ht="18.75" hidden="1">
      <c r="A152" s="1786"/>
      <c r="B152" s="1786"/>
      <c r="C152" s="376" t="s">
        <v>1197</v>
      </c>
      <c r="D152" s="2488"/>
      <c r="E152" s="2230"/>
      <c r="F152" s="2409"/>
      <c r="G152" s="2453"/>
      <c r="H152" s="1507"/>
      <c r="I152" s="658" t="s">
        <v>1196</v>
      </c>
      <c r="J152" s="578"/>
      <c r="K152" s="1507"/>
      <c r="L152" s="221"/>
      <c r="M152" s="1865"/>
      <c r="N152" s="341"/>
      <c r="O152" s="1631"/>
      <c r="P152" s="1631"/>
      <c r="AH152" s="1638">
        <v>0</v>
      </c>
    </row>
    <row s="1642" customFormat="1" customHeight="1" ht="0.75" hidden="1">
      <c r="A153" s="1786"/>
      <c r="B153" s="1786"/>
      <c r="C153" s="376" t="s">
        <v>1204</v>
      </c>
      <c r="D153" s="2488"/>
      <c r="E153" s="2230"/>
      <c r="F153" s="2409"/>
      <c r="G153" s="407"/>
      <c r="H153" s="1507"/>
      <c r="I153" s="658"/>
      <c r="J153" s="578"/>
      <c r="K153" s="1507"/>
      <c r="L153" s="221"/>
      <c r="M153" s="348"/>
      <c r="N153" s="341"/>
      <c r="O153" s="1631"/>
      <c r="P153" s="1631"/>
      <c r="AH153" s="1638">
        <v>0</v>
      </c>
    </row>
    <row s="1642" customFormat="1" customHeight="1" ht="45" hidden="1">
      <c r="A154" s="1786" t="s">
        <v>168</v>
      </c>
      <c r="B154" s="1786" t="s">
        <v>169</v>
      </c>
      <c r="C154" s="376"/>
      <c r="D154" s="2488"/>
      <c r="E154" s="2230"/>
      <c r="F154" s="240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6"/>
      <c r="I154" s="1745"/>
      <c r="J154" s="1779"/>
      <c r="K154" s="1784"/>
      <c r="L154" s="1866" t="s">
        <v>305</v>
      </c>
      <c r="M154" s="348"/>
      <c r="N154" s="341"/>
      <c r="O154" s="1631"/>
      <c r="P154" s="1631"/>
      <c r="AH154" s="1638">
        <v>0</v>
      </c>
    </row>
    <row s="1642" customFormat="1" customHeight="1" ht="18.75" hidden="1">
      <c r="A155" s="1786"/>
      <c r="B155" s="1786"/>
      <c r="C155" s="376" t="s">
        <v>1197</v>
      </c>
      <c r="D155" s="2488"/>
      <c r="E155" s="2230"/>
      <c r="F155" s="2409"/>
      <c r="G155" s="2453"/>
      <c r="H155" s="1507"/>
      <c r="I155" s="658" t="s">
        <v>1196</v>
      </c>
      <c r="J155" s="578"/>
      <c r="K155" s="1507"/>
      <c r="L155" s="221"/>
      <c r="M155" s="348"/>
      <c r="N155" s="341"/>
      <c r="O155" s="1631"/>
      <c r="P155" s="1631"/>
      <c r="AH155" s="1638">
        <v>0</v>
      </c>
    </row>
    <row s="1642" customFormat="1" customHeight="1" ht="0.75" hidden="1">
      <c r="A156" s="1786"/>
      <c r="B156" s="1786"/>
      <c r="C156" s="376" t="s">
        <v>1204</v>
      </c>
      <c r="D156" s="2488"/>
      <c r="E156" s="2230"/>
      <c r="F156" s="2409"/>
      <c r="G156" s="407"/>
      <c r="H156" s="1507"/>
      <c r="I156" s="658"/>
      <c r="J156" s="578"/>
      <c r="K156" s="1507"/>
      <c r="L156" s="221"/>
      <c r="M156" s="348"/>
      <c r="N156" s="341"/>
      <c r="O156" s="1631"/>
      <c r="P156" s="1631"/>
      <c r="AH156" s="1638">
        <v>0</v>
      </c>
    </row>
    <row s="1642" customFormat="1" customHeight="1" ht="45" hidden="1">
      <c r="A157" s="1786" t="s">
        <v>174</v>
      </c>
      <c r="B157" s="1786" t="s">
        <v>175</v>
      </c>
      <c r="C157" s="376"/>
      <c r="D157" s="2488"/>
      <c r="E157" s="2230"/>
      <c r="F157" s="240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6"/>
      <c r="I157" s="1745"/>
      <c r="J157" s="1779"/>
      <c r="K157" s="1784"/>
      <c r="L157" s="1866" t="s">
        <v>305</v>
      </c>
      <c r="M157" s="348"/>
      <c r="N157" s="341"/>
      <c r="O157" s="1631"/>
      <c r="P157" s="1631"/>
      <c r="AH157" s="1638">
        <v>0</v>
      </c>
    </row>
    <row s="1642" customFormat="1" customHeight="1" ht="18.75" hidden="1">
      <c r="A158" s="1786"/>
      <c r="B158" s="1786"/>
      <c r="C158" s="376" t="s">
        <v>1197</v>
      </c>
      <c r="D158" s="2488"/>
      <c r="E158" s="2230"/>
      <c r="F158" s="2409"/>
      <c r="G158" s="2453"/>
      <c r="H158" s="1507"/>
      <c r="I158" s="658" t="s">
        <v>1196</v>
      </c>
      <c r="J158" s="578"/>
      <c r="K158" s="1507"/>
      <c r="L158" s="221"/>
      <c r="M158" s="348"/>
      <c r="N158" s="341"/>
      <c r="O158" s="1631"/>
      <c r="P158" s="1631"/>
      <c r="AH158" s="1638">
        <v>0</v>
      </c>
    </row>
    <row s="1642" customFormat="1" customHeight="1" ht="0.75" hidden="1">
      <c r="A159" s="1786"/>
      <c r="B159" s="1786"/>
      <c r="C159" s="376" t="s">
        <v>1204</v>
      </c>
      <c r="D159" s="2488"/>
      <c r="E159" s="2230"/>
      <c r="F159" s="2409"/>
      <c r="G159" s="407"/>
      <c r="H159" s="1507"/>
      <c r="I159" s="658"/>
      <c r="J159" s="578"/>
      <c r="K159" s="1507"/>
      <c r="L159" s="221"/>
      <c r="M159" s="348"/>
      <c r="N159" s="341"/>
      <c r="O159" s="1631"/>
      <c r="P159" s="1631"/>
      <c r="AH159" s="1638">
        <v>0</v>
      </c>
    </row>
    <row s="1642" customFormat="1" customHeight="1" ht="18.75" hidden="1">
      <c r="A160" s="1786" t="s">
        <v>180</v>
      </c>
      <c r="B160" s="1786" t="s">
        <v>181</v>
      </c>
      <c r="C160" s="376"/>
      <c r="D160" s="2488"/>
      <c r="E160" s="2230"/>
      <c r="F160" s="2409" t="str">
        <f>INDEX(PT_DIFFERENTIATION_VTAR,MATCH(A160,PT_DIFFERENTIATION_VTAR_ID,0))</f>
        <v>Тарифы на услуги по передаче тепловой энергии</v>
      </c>
      <c r="G160" s="2453" t="str">
        <f>INDEX(PT_DIFFERENTIATION_NTAR,MATCH(B160,PT_DIFFERENTIATION_NTAR_ID,0))</f>
        <v/>
      </c>
      <c r="H160" s="1866"/>
      <c r="I160" s="1745"/>
      <c r="J160" s="1779"/>
      <c r="K160" s="1784"/>
      <c r="L160" s="1866" t="s">
        <v>305</v>
      </c>
      <c r="M160" s="348"/>
      <c r="N160" s="341"/>
      <c r="O160" s="1631"/>
      <c r="P160" s="1631"/>
      <c r="AH160" s="1638">
        <v>0</v>
      </c>
    </row>
    <row s="1642" customFormat="1" customHeight="1" ht="18.75" hidden="1">
      <c r="A161" s="1786"/>
      <c r="B161" s="1786"/>
      <c r="C161" s="376" t="s">
        <v>1197</v>
      </c>
      <c r="D161" s="2488"/>
      <c r="E161" s="2230"/>
      <c r="F161" s="2409"/>
      <c r="G161" s="2453"/>
      <c r="H161" s="1507"/>
      <c r="I161" s="658" t="s">
        <v>1196</v>
      </c>
      <c r="J161" s="578"/>
      <c r="K161" s="1507"/>
      <c r="L161" s="221"/>
      <c r="M161" s="348"/>
      <c r="N161" s="341"/>
      <c r="O161" s="1631"/>
      <c r="P161" s="1631"/>
      <c r="AH161" s="1638">
        <v>0</v>
      </c>
    </row>
    <row s="1642" customFormat="1" customHeight="1" ht="0.75" hidden="1">
      <c r="A162" s="1786"/>
      <c r="B162" s="1786"/>
      <c r="C162" s="376" t="s">
        <v>1204</v>
      </c>
      <c r="D162" s="2488"/>
      <c r="E162" s="2230"/>
      <c r="F162" s="2409"/>
      <c r="G162" s="407"/>
      <c r="H162" s="1507"/>
      <c r="I162" s="658"/>
      <c r="J162" s="578"/>
      <c r="K162" s="1507"/>
      <c r="L162" s="221"/>
      <c r="M162" s="348"/>
      <c r="N162" s="341"/>
      <c r="O162" s="1631"/>
      <c r="P162" s="1631"/>
      <c r="AH162" s="1638">
        <v>0</v>
      </c>
    </row>
    <row s="1642" customFormat="1" customHeight="1" ht="18.75" hidden="1">
      <c r="A163" s="1786" t="s">
        <v>186</v>
      </c>
      <c r="B163" s="1786" t="s">
        <v>187</v>
      </c>
      <c r="C163" s="376"/>
      <c r="D163" s="2488"/>
      <c r="E163" s="2230"/>
      <c r="F163" s="2409" t="str">
        <f>INDEX(PT_DIFFERENTIATION_VTAR,MATCH(A163,PT_DIFFERENTIATION_VTAR_ID,0))</f>
        <v>Тарифы на услуги по передаче теплоносителя</v>
      </c>
      <c r="G163" s="2453" t="str">
        <f>INDEX(PT_DIFFERENTIATION_NTAR,MATCH(B163,PT_DIFFERENTIATION_NTAR_ID,0))</f>
        <v/>
      </c>
      <c r="H163" s="1866"/>
      <c r="I163" s="1745"/>
      <c r="J163" s="1779"/>
      <c r="K163" s="1784"/>
      <c r="L163" s="1866" t="s">
        <v>305</v>
      </c>
      <c r="M163" s="348"/>
      <c r="N163" s="341"/>
      <c r="O163" s="1631"/>
      <c r="P163" s="1631"/>
      <c r="AH163" s="1638">
        <v>0</v>
      </c>
    </row>
    <row s="1642" customFormat="1" customHeight="1" ht="18.75" hidden="1">
      <c r="A164" s="1786"/>
      <c r="B164" s="1786"/>
      <c r="C164" s="376" t="s">
        <v>1197</v>
      </c>
      <c r="D164" s="2488"/>
      <c r="E164" s="2230"/>
      <c r="F164" s="2409"/>
      <c r="G164" s="2453"/>
      <c r="H164" s="1507"/>
      <c r="I164" s="658" t="s">
        <v>1196</v>
      </c>
      <c r="J164" s="578"/>
      <c r="K164" s="1507"/>
      <c r="L164" s="221"/>
      <c r="M164" s="348"/>
      <c r="N164" s="341"/>
      <c r="O164" s="1631"/>
      <c r="P164" s="1631"/>
      <c r="AH164" s="1638">
        <v>0</v>
      </c>
    </row>
    <row s="1642" customFormat="1" customHeight="1" ht="0.75" hidden="1">
      <c r="A165" s="1786"/>
      <c r="B165" s="1786"/>
      <c r="C165" s="376" t="s">
        <v>1204</v>
      </c>
      <c r="D165" s="2488"/>
      <c r="E165" s="2230"/>
      <c r="F165" s="2409"/>
      <c r="G165" s="407"/>
      <c r="H165" s="1507"/>
      <c r="I165" s="658"/>
      <c r="J165" s="578"/>
      <c r="K165" s="1507"/>
      <c r="L165" s="221"/>
      <c r="M165" s="348"/>
      <c r="N165" s="341"/>
      <c r="O165" s="1631"/>
      <c r="P165" s="1631"/>
      <c r="AH165" s="1638">
        <v>0</v>
      </c>
    </row>
    <row s="1642" customFormat="1" customHeight="1" ht="18.75" hidden="1">
      <c r="A166" s="1786" t="s">
        <v>192</v>
      </c>
      <c r="B166" s="1786" t="s">
        <v>193</v>
      </c>
      <c r="C166" s="376"/>
      <c r="D166" s="2488"/>
      <c r="E166" s="2230"/>
      <c r="F166" s="240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6"/>
      <c r="I166" s="1745"/>
      <c r="J166" s="1779"/>
      <c r="K166" s="1784"/>
      <c r="L166" s="1866" t="s">
        <v>305</v>
      </c>
      <c r="M166" s="348"/>
      <c r="N166" s="341"/>
      <c r="O166" s="1631"/>
      <c r="P166" s="1631"/>
      <c r="AH166" s="1638">
        <v>0</v>
      </c>
    </row>
    <row s="1642" customFormat="1" customHeight="1" ht="18.75" hidden="1">
      <c r="A167" s="1786"/>
      <c r="B167" s="1786"/>
      <c r="C167" s="376" t="s">
        <v>1197</v>
      </c>
      <c r="D167" s="2488"/>
      <c r="E167" s="2230"/>
      <c r="F167" s="2409"/>
      <c r="G167" s="2453"/>
      <c r="H167" s="1507"/>
      <c r="I167" s="658" t="s">
        <v>1196</v>
      </c>
      <c r="J167" s="578"/>
      <c r="K167" s="1507"/>
      <c r="L167" s="221"/>
      <c r="M167" s="348"/>
      <c r="N167" s="341"/>
      <c r="O167" s="1631"/>
      <c r="P167" s="1631"/>
      <c r="AH167" s="1638">
        <v>0</v>
      </c>
    </row>
    <row s="1642" customFormat="1" customHeight="1" ht="0.75" hidden="1">
      <c r="A168" s="1786"/>
      <c r="B168" s="1786"/>
      <c r="C168" s="376" t="s">
        <v>1204</v>
      </c>
      <c r="D168" s="2488"/>
      <c r="E168" s="2230"/>
      <c r="F168" s="2409"/>
      <c r="G168" s="407"/>
      <c r="H168" s="1507"/>
      <c r="I168" s="658"/>
      <c r="J168" s="578"/>
      <c r="K168" s="1507"/>
      <c r="L168" s="221"/>
      <c r="M168" s="348"/>
      <c r="N168" s="341"/>
      <c r="O168" s="1631"/>
      <c r="P168" s="1631"/>
      <c r="AH168" s="1638">
        <v>0</v>
      </c>
    </row>
    <row s="1642" customFormat="1" customHeight="1" ht="18.75" hidden="1">
      <c r="A169" s="1786" t="s">
        <v>198</v>
      </c>
      <c r="B169" s="1786" t="s">
        <v>199</v>
      </c>
      <c r="C169" s="376"/>
      <c r="D169" s="2488"/>
      <c r="E169" s="2230"/>
      <c r="F169" s="2409"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6"/>
      <c r="I169" s="1745"/>
      <c r="J169" s="1779"/>
      <c r="K169" s="1784"/>
      <c r="L169" s="1866" t="s">
        <v>305</v>
      </c>
      <c r="M169" s="348"/>
      <c r="N169" s="341"/>
      <c r="O169" s="1631"/>
      <c r="P169" s="1631"/>
      <c r="AH169" s="1638">
        <v>0</v>
      </c>
    </row>
    <row s="1642" customFormat="1" customHeight="1" ht="18.75" hidden="1">
      <c r="A170" s="1786"/>
      <c r="B170" s="1786"/>
      <c r="C170" s="376" t="s">
        <v>1197</v>
      </c>
      <c r="D170" s="2488"/>
      <c r="E170" s="2230"/>
      <c r="F170" s="2409"/>
      <c r="G170" s="2453"/>
      <c r="H170" s="1507"/>
      <c r="I170" s="658" t="s">
        <v>1196</v>
      </c>
      <c r="J170" s="578"/>
      <c r="K170" s="1507"/>
      <c r="L170" s="221"/>
      <c r="M170" s="348"/>
      <c r="N170" s="341"/>
      <c r="O170" s="1631"/>
      <c r="P170" s="1631"/>
      <c r="AH170" s="1638">
        <v>0</v>
      </c>
    </row>
    <row s="1642" customFormat="1" customHeight="1" ht="0.75" hidden="1">
      <c r="A171" s="1786"/>
      <c r="B171" s="1786"/>
      <c r="C171" s="376" t="s">
        <v>1204</v>
      </c>
      <c r="D171" s="2488"/>
      <c r="E171" s="2230"/>
      <c r="F171" s="2409"/>
      <c r="G171" s="407"/>
      <c r="H171" s="1507"/>
      <c r="I171" s="658"/>
      <c r="J171" s="578"/>
      <c r="K171" s="1507"/>
      <c r="L171" s="221"/>
      <c r="M171" s="348"/>
      <c r="N171" s="341"/>
      <c r="O171" s="1631"/>
      <c r="P171" s="1631"/>
      <c r="AH171" s="1638">
        <v>0</v>
      </c>
    </row>
    <row s="1642" customFormat="1" customHeight="1" ht="18.75" hidden="1">
      <c r="A172" s="1786" t="s">
        <v>204</v>
      </c>
      <c r="B172" s="1786" t="s">
        <v>205</v>
      </c>
      <c r="C172" s="376"/>
      <c r="D172" s="2488"/>
      <c r="E172" s="2230"/>
      <c r="F172" s="2409"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93"/>
      <c r="I172" s="1745"/>
      <c r="J172" s="1779"/>
      <c r="K172" s="1784"/>
      <c r="L172" s="1993" t="s">
        <v>305</v>
      </c>
      <c r="M172" s="348"/>
      <c r="N172" s="341"/>
      <c r="O172" s="1631"/>
      <c r="P172" s="1631"/>
      <c r="AH172" s="1638">
        <v>0</v>
      </c>
    </row>
    <row s="1642" customFormat="1" customHeight="1" ht="18.75" hidden="1">
      <c r="A173" s="1786"/>
      <c r="B173" s="1786"/>
      <c r="C173" s="376" t="s">
        <v>1197</v>
      </c>
      <c r="D173" s="2488"/>
      <c r="E173" s="2230"/>
      <c r="F173" s="2409"/>
      <c r="G173" s="2453"/>
      <c r="H173" s="1507"/>
      <c r="I173" s="658" t="s">
        <v>1196</v>
      </c>
      <c r="J173" s="578"/>
      <c r="K173" s="1507"/>
      <c r="L173" s="221"/>
      <c r="M173" s="348"/>
      <c r="N173" s="341"/>
      <c r="O173" s="1631"/>
      <c r="P173" s="1631"/>
      <c r="AH173" s="1638">
        <v>0</v>
      </c>
    </row>
    <row s="1642" customFormat="1" customHeight="1" ht="0.75" hidden="1">
      <c r="A174" s="1786"/>
      <c r="B174" s="1786"/>
      <c r="C174" s="376" t="s">
        <v>1204</v>
      </c>
      <c r="D174" s="2488"/>
      <c r="E174" s="2230"/>
      <c r="F174" s="2409"/>
      <c r="G174" s="407"/>
      <c r="H174" s="1507"/>
      <c r="I174" s="658"/>
      <c r="J174" s="578"/>
      <c r="K174" s="1507"/>
      <c r="L174" s="221"/>
      <c r="M174" s="348"/>
      <c r="N174" s="341"/>
      <c r="O174" s="1631"/>
      <c r="P174" s="1631"/>
      <c r="AH174" s="1638">
        <v>0</v>
      </c>
    </row>
    <row s="1642" customFormat="1" customHeight="1" ht="18.75" hidden="1">
      <c r="A175" s="1786" t="s">
        <v>224</v>
      </c>
      <c r="B175" s="1786" t="s">
        <v>225</v>
      </c>
      <c r="C175" s="376"/>
      <c r="D175" s="2488"/>
      <c r="E175" s="2230"/>
      <c r="F175" s="2409" t="str">
        <f>INDEX(PT_DIFFERENTIATION_VTAR,MATCH(A175,PT_DIFFERENTIATION_VTAR_ID,0))</f>
        <v>Тариф на питьевую воду (питьевое водоснабжение)</v>
      </c>
      <c r="G175" s="2453" t="str">
        <f>INDEX(PT_DIFFERENTIATION_NTAR,MATCH(B175,PT_DIFFERENTIATION_NTAR_ID,0))</f>
        <v/>
      </c>
      <c r="H175" s="1866"/>
      <c r="I175" s="1745"/>
      <c r="J175" s="1779"/>
      <c r="K175" s="1784"/>
      <c r="L175" s="1866" t="s">
        <v>305</v>
      </c>
      <c r="M175" s="348"/>
      <c r="N175" s="341"/>
      <c r="O175" s="1631"/>
      <c r="P175" s="1631"/>
      <c r="AH175" s="1638">
        <v>0</v>
      </c>
    </row>
    <row s="1642" customFormat="1" customHeight="1" ht="18.75" hidden="1">
      <c r="A176" s="1786"/>
      <c r="B176" s="1786"/>
      <c r="C176" s="376" t="s">
        <v>1197</v>
      </c>
      <c r="D176" s="2488"/>
      <c r="E176" s="2230"/>
      <c r="F176" s="2409"/>
      <c r="G176" s="2453"/>
      <c r="H176" s="1507"/>
      <c r="I176" s="658" t="s">
        <v>1196</v>
      </c>
      <c r="J176" s="578"/>
      <c r="K176" s="1507"/>
      <c r="L176" s="221"/>
      <c r="M176" s="348"/>
      <c r="N176" s="341"/>
      <c r="O176" s="1631"/>
      <c r="P176" s="1631"/>
      <c r="AH176" s="1638">
        <v>0</v>
      </c>
    </row>
    <row s="1642" customFormat="1" customHeight="1" ht="0.75" hidden="1">
      <c r="A177" s="1786"/>
      <c r="B177" s="1786"/>
      <c r="C177" s="376" t="s">
        <v>1204</v>
      </c>
      <c r="D177" s="2488"/>
      <c r="E177" s="2230"/>
      <c r="F177" s="2409"/>
      <c r="G177" s="407"/>
      <c r="H177" s="1507"/>
      <c r="I177" s="658"/>
      <c r="J177" s="578"/>
      <c r="K177" s="1507"/>
      <c r="L177" s="221"/>
      <c r="M177" s="348"/>
      <c r="N177" s="341"/>
      <c r="O177" s="1631"/>
      <c r="P177" s="1631"/>
      <c r="AH177" s="1638">
        <v>0</v>
      </c>
    </row>
    <row s="1642" customFormat="1" customHeight="1" ht="18.75" hidden="1">
      <c r="A178" s="1786" t="s">
        <v>229</v>
      </c>
      <c r="B178" s="1786" t="s">
        <v>230</v>
      </c>
      <c r="C178" s="376"/>
      <c r="D178" s="2488"/>
      <c r="E178" s="2230"/>
      <c r="F178" s="2409" t="str">
        <f>INDEX(PT_DIFFERENTIATION_VTAR,MATCH(A178,PT_DIFFERENTIATION_VTAR_ID,0))</f>
        <v>Тариф на техническую воду</v>
      </c>
      <c r="G178" s="2453" t="str">
        <f>INDEX(PT_DIFFERENTIATION_NTAR,MATCH(B178,PT_DIFFERENTIATION_NTAR_ID,0))</f>
        <v/>
      </c>
      <c r="H178" s="1866"/>
      <c r="I178" s="1745"/>
      <c r="J178" s="1779"/>
      <c r="K178" s="1784"/>
      <c r="L178" s="1866" t="s">
        <v>305</v>
      </c>
      <c r="M178" s="348"/>
      <c r="N178" s="341"/>
      <c r="O178" s="1631"/>
      <c r="P178" s="1631"/>
      <c r="AH178" s="1638">
        <v>0</v>
      </c>
    </row>
    <row s="1642" customFormat="1" customHeight="1" ht="18.75" hidden="1">
      <c r="A179" s="1786"/>
      <c r="B179" s="1786"/>
      <c r="C179" s="376" t="s">
        <v>1197</v>
      </c>
      <c r="D179" s="2488"/>
      <c r="E179" s="2230"/>
      <c r="F179" s="2409"/>
      <c r="G179" s="2453"/>
      <c r="H179" s="1507"/>
      <c r="I179" s="658" t="s">
        <v>1196</v>
      </c>
      <c r="J179" s="578"/>
      <c r="K179" s="1507"/>
      <c r="L179" s="221"/>
      <c r="M179" s="348"/>
      <c r="N179" s="341"/>
      <c r="O179" s="1631"/>
      <c r="P179" s="1631"/>
      <c r="AH179" s="1638">
        <v>0</v>
      </c>
    </row>
    <row s="1642" customFormat="1" customHeight="1" ht="0.75" hidden="1">
      <c r="A180" s="1786"/>
      <c r="B180" s="1786"/>
      <c r="C180" s="376" t="s">
        <v>1204</v>
      </c>
      <c r="D180" s="2488"/>
      <c r="E180" s="2230"/>
      <c r="F180" s="2409"/>
      <c r="G180" s="407"/>
      <c r="H180" s="1507"/>
      <c r="I180" s="658"/>
      <c r="J180" s="578"/>
      <c r="K180" s="1507"/>
      <c r="L180" s="221"/>
      <c r="M180" s="348"/>
      <c r="N180" s="341"/>
      <c r="O180" s="1631"/>
      <c r="P180" s="1631"/>
      <c r="AH180" s="1638">
        <v>0</v>
      </c>
    </row>
    <row s="1642" customFormat="1" customHeight="1" ht="18.75" hidden="1">
      <c r="A181" s="1786" t="s">
        <v>234</v>
      </c>
      <c r="B181" s="1786" t="s">
        <v>235</v>
      </c>
      <c r="C181" s="376"/>
      <c r="D181" s="2488"/>
      <c r="E181" s="2230"/>
      <c r="F181" s="2409" t="str">
        <f>INDEX(PT_DIFFERENTIATION_VTAR,MATCH(A181,PT_DIFFERENTIATION_VTAR_ID,0))</f>
        <v>Тариф на транспортировку воды</v>
      </c>
      <c r="G181" s="2453" t="str">
        <f>INDEX(PT_DIFFERENTIATION_NTAR,MATCH(B181,PT_DIFFERENTIATION_NTAR_ID,0))</f>
        <v/>
      </c>
      <c r="H181" s="1866"/>
      <c r="I181" s="1745"/>
      <c r="J181" s="1779"/>
      <c r="K181" s="1784"/>
      <c r="L181" s="1866" t="s">
        <v>305</v>
      </c>
      <c r="M181" s="348"/>
      <c r="N181" s="341"/>
      <c r="O181" s="1631"/>
      <c r="P181" s="1631"/>
      <c r="AH181" s="1638">
        <v>0</v>
      </c>
    </row>
    <row s="1642" customFormat="1" customHeight="1" ht="18.75" hidden="1">
      <c r="A182" s="1786"/>
      <c r="B182" s="1786"/>
      <c r="C182" s="376" t="s">
        <v>1197</v>
      </c>
      <c r="D182" s="2488"/>
      <c r="E182" s="2230"/>
      <c r="F182" s="2409"/>
      <c r="G182" s="2453"/>
      <c r="H182" s="1507"/>
      <c r="I182" s="658" t="s">
        <v>1196</v>
      </c>
      <c r="J182" s="578"/>
      <c r="K182" s="1507"/>
      <c r="L182" s="221"/>
      <c r="M182" s="348"/>
      <c r="N182" s="341"/>
      <c r="O182" s="1631"/>
      <c r="P182" s="1631"/>
      <c r="AH182" s="1638">
        <v>0</v>
      </c>
    </row>
    <row s="1642" customFormat="1" customHeight="1" ht="0.75" hidden="1">
      <c r="A183" s="1786"/>
      <c r="B183" s="1786"/>
      <c r="C183" s="376" t="s">
        <v>1204</v>
      </c>
      <c r="D183" s="2488"/>
      <c r="E183" s="2230"/>
      <c r="F183" s="2409"/>
      <c r="G183" s="407"/>
      <c r="H183" s="1507"/>
      <c r="I183" s="658"/>
      <c r="J183" s="578"/>
      <c r="K183" s="1507"/>
      <c r="L183" s="221"/>
      <c r="M183" s="348"/>
      <c r="N183" s="341"/>
      <c r="O183" s="1631"/>
      <c r="P183" s="1631"/>
      <c r="AH183" s="1638">
        <v>0</v>
      </c>
    </row>
    <row s="1642" customFormat="1" customHeight="1" ht="18.75" hidden="1">
      <c r="A184" s="1786" t="s">
        <v>239</v>
      </c>
      <c r="B184" s="1786" t="s">
        <v>240</v>
      </c>
      <c r="C184" s="376"/>
      <c r="D184" s="2488"/>
      <c r="E184" s="2230"/>
      <c r="F184" s="2409" t="str">
        <f>INDEX(PT_DIFFERENTIATION_VTAR,MATCH(A184,PT_DIFFERENTIATION_VTAR_ID,0))</f>
        <v>Тариф на подвоз воды</v>
      </c>
      <c r="G184" s="2453" t="str">
        <f>INDEX(PT_DIFFERENTIATION_NTAR,MATCH(B184,PT_DIFFERENTIATION_NTAR_ID,0))</f>
        <v/>
      </c>
      <c r="H184" s="1866"/>
      <c r="I184" s="1745"/>
      <c r="J184" s="1779"/>
      <c r="K184" s="1784"/>
      <c r="L184" s="1866" t="s">
        <v>305</v>
      </c>
      <c r="M184" s="348"/>
      <c r="N184" s="341"/>
      <c r="O184" s="1631"/>
      <c r="P184" s="1631"/>
      <c r="AH184" s="1638">
        <v>0</v>
      </c>
    </row>
    <row s="1642" customFormat="1" customHeight="1" ht="18.75" hidden="1">
      <c r="A185" s="1786"/>
      <c r="B185" s="1786"/>
      <c r="C185" s="376" t="s">
        <v>1197</v>
      </c>
      <c r="D185" s="2488"/>
      <c r="E185" s="2230"/>
      <c r="F185" s="2409"/>
      <c r="G185" s="2453"/>
      <c r="H185" s="1507"/>
      <c r="I185" s="658" t="s">
        <v>1196</v>
      </c>
      <c r="J185" s="578"/>
      <c r="K185" s="1507"/>
      <c r="L185" s="221"/>
      <c r="M185" s="348"/>
      <c r="N185" s="341"/>
      <c r="O185" s="1631"/>
      <c r="P185" s="1631"/>
      <c r="AH185" s="1638">
        <v>0</v>
      </c>
    </row>
    <row s="1642" customFormat="1" customHeight="1" ht="0.75" hidden="1">
      <c r="A186" s="1786"/>
      <c r="B186" s="1786"/>
      <c r="C186" s="376" t="s">
        <v>1204</v>
      </c>
      <c r="D186" s="2488"/>
      <c r="E186" s="2230"/>
      <c r="F186" s="2409"/>
      <c r="G186" s="407"/>
      <c r="H186" s="1507"/>
      <c r="I186" s="658"/>
      <c r="J186" s="578"/>
      <c r="K186" s="1507"/>
      <c r="L186" s="221"/>
      <c r="M186" s="348"/>
      <c r="N186" s="341"/>
      <c r="O186" s="1631"/>
      <c r="P186" s="1631"/>
      <c r="AH186" s="1638">
        <v>0</v>
      </c>
    </row>
    <row s="1642" customFormat="1" customHeight="1" ht="18.75" hidden="1">
      <c r="A187" s="1786" t="s">
        <v>244</v>
      </c>
      <c r="B187" s="1786" t="s">
        <v>245</v>
      </c>
      <c r="C187" s="376"/>
      <c r="D187" s="2488"/>
      <c r="E187" s="2230"/>
      <c r="F187" s="240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6"/>
      <c r="I187" s="1745"/>
      <c r="J187" s="1779"/>
      <c r="K187" s="1784"/>
      <c r="L187" s="1866" t="s">
        <v>305</v>
      </c>
      <c r="M187" s="348"/>
      <c r="N187" s="341"/>
      <c r="O187" s="1631"/>
      <c r="P187" s="1631"/>
      <c r="AH187" s="1638">
        <v>0</v>
      </c>
    </row>
    <row s="1642" customFormat="1" customHeight="1" ht="18.75" hidden="1">
      <c r="A188" s="1786"/>
      <c r="B188" s="1786"/>
      <c r="C188" s="376" t="s">
        <v>1197</v>
      </c>
      <c r="D188" s="2488"/>
      <c r="E188" s="2230"/>
      <c r="F188" s="2409"/>
      <c r="G188" s="2453"/>
      <c r="H188" s="1507"/>
      <c r="I188" s="658" t="s">
        <v>1196</v>
      </c>
      <c r="J188" s="578"/>
      <c r="K188" s="1507"/>
      <c r="L188" s="221"/>
      <c r="M188" s="348"/>
      <c r="N188" s="341"/>
      <c r="O188" s="1631"/>
      <c r="P188" s="1631"/>
      <c r="AH188" s="1638">
        <v>0</v>
      </c>
    </row>
    <row s="1642" customFormat="1" customHeight="1" ht="0.75" hidden="1">
      <c r="A189" s="1786"/>
      <c r="B189" s="1786"/>
      <c r="C189" s="376" t="s">
        <v>1204</v>
      </c>
      <c r="D189" s="2488"/>
      <c r="E189" s="2230"/>
      <c r="F189" s="2409"/>
      <c r="G189" s="407"/>
      <c r="H189" s="1507"/>
      <c r="I189" s="658"/>
      <c r="J189" s="578"/>
      <c r="K189" s="1507"/>
      <c r="L189" s="221"/>
      <c r="M189" s="348"/>
      <c r="N189" s="341"/>
      <c r="O189" s="1631"/>
      <c r="P189" s="1631"/>
      <c r="AH189" s="1638">
        <v>0</v>
      </c>
    </row>
    <row s="1642" customFormat="1" customHeight="1" ht="18.75" hidden="1">
      <c r="A190" s="1786" t="s">
        <v>249</v>
      </c>
      <c r="B190" s="1786" t="s">
        <v>250</v>
      </c>
      <c r="C190" s="376"/>
      <c r="D190" s="2488"/>
      <c r="E190" s="2230"/>
      <c r="F190" s="2409" t="str">
        <f>INDEX(PT_DIFFERENTIATION_VTAR,MATCH(A190,PT_DIFFERENTIATION_VTAR_ID,0))</f>
        <v>Тариф на горячую воду (горячее водоснабжение)</v>
      </c>
      <c r="G190" s="2453" t="str">
        <f>INDEX(PT_DIFFERENTIATION_NTAR,MATCH(B190,PT_DIFFERENTIATION_NTAR_ID,0))</f>
        <v/>
      </c>
      <c r="H190" s="1866"/>
      <c r="I190" s="1745"/>
      <c r="J190" s="1779"/>
      <c r="K190" s="1784"/>
      <c r="L190" s="1866" t="s">
        <v>305</v>
      </c>
      <c r="M190" s="348"/>
      <c r="N190" s="341"/>
      <c r="O190" s="1631"/>
      <c r="P190" s="1631"/>
      <c r="AH190" s="1638">
        <v>0</v>
      </c>
    </row>
    <row s="1642" customFormat="1" customHeight="1" ht="18.75" hidden="1">
      <c r="A191" s="1786"/>
      <c r="B191" s="1786"/>
      <c r="C191" s="376" t="s">
        <v>1197</v>
      </c>
      <c r="D191" s="2488"/>
      <c r="E191" s="2230"/>
      <c r="F191" s="2409"/>
      <c r="G191" s="2453"/>
      <c r="H191" s="1507"/>
      <c r="I191" s="658" t="s">
        <v>1196</v>
      </c>
      <c r="J191" s="578"/>
      <c r="K191" s="1507"/>
      <c r="L191" s="221"/>
      <c r="M191" s="348"/>
      <c r="N191" s="341"/>
      <c r="O191" s="1631"/>
      <c r="P191" s="1631"/>
      <c r="AH191" s="1638">
        <v>0</v>
      </c>
    </row>
    <row s="1642" customFormat="1" customHeight="1" ht="0.75" hidden="1">
      <c r="A192" s="1786"/>
      <c r="B192" s="1786"/>
      <c r="C192" s="376" t="s">
        <v>1204</v>
      </c>
      <c r="D192" s="2488"/>
      <c r="E192" s="2230"/>
      <c r="F192" s="2409"/>
      <c r="G192" s="407"/>
      <c r="H192" s="1507"/>
      <c r="I192" s="658"/>
      <c r="J192" s="578"/>
      <c r="K192" s="1507"/>
      <c r="L192" s="221"/>
      <c r="M192" s="348"/>
      <c r="N192" s="341"/>
      <c r="O192" s="1631"/>
      <c r="P192" s="1631"/>
      <c r="AH192" s="1638">
        <v>0</v>
      </c>
    </row>
    <row s="1642" customFormat="1" customHeight="1" ht="18.75" hidden="1">
      <c r="A193" s="1786" t="s">
        <v>254</v>
      </c>
      <c r="B193" s="1786" t="s">
        <v>255</v>
      </c>
      <c r="C193" s="376"/>
      <c r="D193" s="2488"/>
      <c r="E193" s="2230"/>
      <c r="F193" s="2409" t="str">
        <f>INDEX(PT_DIFFERENTIATION_VTAR,MATCH(A193,PT_DIFFERENTIATION_VTAR_ID,0))</f>
        <v>Тариф на транспортировку горячей воды</v>
      </c>
      <c r="G193" s="2453" t="str">
        <f>INDEX(PT_DIFFERENTIATION_NTAR,MATCH(B193,PT_DIFFERENTIATION_NTAR_ID,0))</f>
        <v/>
      </c>
      <c r="H193" s="1866"/>
      <c r="I193" s="1745"/>
      <c r="J193" s="1779"/>
      <c r="K193" s="1784"/>
      <c r="L193" s="1866" t="s">
        <v>305</v>
      </c>
      <c r="M193" s="348"/>
      <c r="N193" s="341"/>
      <c r="O193" s="1631"/>
      <c r="P193" s="1631"/>
      <c r="AH193" s="1638">
        <v>0</v>
      </c>
    </row>
    <row s="1642" customFormat="1" customHeight="1" ht="18.75" hidden="1">
      <c r="A194" s="1786"/>
      <c r="B194" s="1786"/>
      <c r="C194" s="376" t="s">
        <v>1197</v>
      </c>
      <c r="D194" s="2488"/>
      <c r="E194" s="2230"/>
      <c r="F194" s="2409"/>
      <c r="G194" s="2453"/>
      <c r="H194" s="1507"/>
      <c r="I194" s="658" t="s">
        <v>1196</v>
      </c>
      <c r="J194" s="578"/>
      <c r="K194" s="1507"/>
      <c r="L194" s="221"/>
      <c r="M194" s="348"/>
      <c r="N194" s="341"/>
      <c r="O194" s="1631"/>
      <c r="P194" s="1631"/>
      <c r="AH194" s="1638">
        <v>0</v>
      </c>
    </row>
    <row s="1642" customFormat="1" customHeight="1" ht="0.75" hidden="1">
      <c r="A195" s="1786"/>
      <c r="B195" s="1786"/>
      <c r="C195" s="376" t="s">
        <v>1204</v>
      </c>
      <c r="D195" s="2488"/>
      <c r="E195" s="2230"/>
      <c r="F195" s="2409"/>
      <c r="G195" s="407"/>
      <c r="H195" s="1507"/>
      <c r="I195" s="658"/>
      <c r="J195" s="578"/>
      <c r="K195" s="1507"/>
      <c r="L195" s="221"/>
      <c r="M195" s="348"/>
      <c r="N195" s="341"/>
      <c r="O195" s="1631"/>
      <c r="P195" s="1631"/>
      <c r="AH195" s="1638">
        <v>0</v>
      </c>
    </row>
    <row s="1642" customFormat="1" customHeight="1" ht="18.75" hidden="1">
      <c r="A196" s="1786" t="s">
        <v>259</v>
      </c>
      <c r="B196" s="1786" t="s">
        <v>260</v>
      </c>
      <c r="C196" s="376"/>
      <c r="D196" s="2488"/>
      <c r="E196" s="2230"/>
      <c r="F196" s="240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6"/>
      <c r="I196" s="1745"/>
      <c r="J196" s="1779"/>
      <c r="K196" s="1784"/>
      <c r="L196" s="1866" t="s">
        <v>305</v>
      </c>
      <c r="M196" s="348"/>
      <c r="N196" s="341"/>
      <c r="O196" s="1631"/>
      <c r="P196" s="1631"/>
      <c r="AH196" s="1638">
        <v>0</v>
      </c>
    </row>
    <row s="1642" customFormat="1" customHeight="1" ht="18.75" hidden="1">
      <c r="A197" s="1786"/>
      <c r="B197" s="1786"/>
      <c r="C197" s="376" t="s">
        <v>1197</v>
      </c>
      <c r="D197" s="2488"/>
      <c r="E197" s="2230"/>
      <c r="F197" s="2409"/>
      <c r="G197" s="2453"/>
      <c r="H197" s="1507"/>
      <c r="I197" s="658" t="s">
        <v>1196</v>
      </c>
      <c r="J197" s="578"/>
      <c r="K197" s="1507"/>
      <c r="L197" s="221"/>
      <c r="M197" s="348"/>
      <c r="N197" s="341"/>
      <c r="O197" s="1631"/>
      <c r="P197" s="1631"/>
      <c r="AH197" s="1638">
        <v>0</v>
      </c>
    </row>
    <row s="1642" customFormat="1" customHeight="1" ht="0.75" hidden="1">
      <c r="A198" s="1786"/>
      <c r="B198" s="1786"/>
      <c r="C198" s="376" t="s">
        <v>1204</v>
      </c>
      <c r="D198" s="2488"/>
      <c r="E198" s="2230"/>
      <c r="F198" s="2409"/>
      <c r="G198" s="407"/>
      <c r="H198" s="1507"/>
      <c r="I198" s="658"/>
      <c r="J198" s="578"/>
      <c r="K198" s="1507"/>
      <c r="L198" s="221"/>
      <c r="M198" s="348"/>
      <c r="N198" s="341"/>
      <c r="O198" s="1631"/>
      <c r="P198" s="1631"/>
      <c r="AH198" s="1638">
        <v>0</v>
      </c>
    </row>
    <row s="1642" customFormat="1" customHeight="1" ht="18.75" hidden="1">
      <c r="A199" s="1786" t="s">
        <v>264</v>
      </c>
      <c r="B199" s="1786" t="s">
        <v>265</v>
      </c>
      <c r="C199" s="376"/>
      <c r="D199" s="2488"/>
      <c r="E199" s="2230"/>
      <c r="F199" s="2409" t="str">
        <f>INDEX(PT_DIFFERENTIATION_VTAR,MATCH(A199,PT_DIFFERENTIATION_VTAR_ID,0))</f>
        <v>Тариф на водоотведение</v>
      </c>
      <c r="G199" s="2453" t="str">
        <f>INDEX(PT_DIFFERENTIATION_NTAR,MATCH(B199,PT_DIFFERENTIATION_NTAR_ID,0))</f>
        <v/>
      </c>
      <c r="H199" s="1866"/>
      <c r="I199" s="1745"/>
      <c r="J199" s="1779"/>
      <c r="K199" s="1784"/>
      <c r="L199" s="1866" t="s">
        <v>305</v>
      </c>
      <c r="M199" s="348"/>
      <c r="N199" s="341"/>
      <c r="O199" s="1631"/>
      <c r="P199" s="1631"/>
      <c r="AH199" s="1638">
        <v>0</v>
      </c>
    </row>
    <row s="1642" customFormat="1" customHeight="1" ht="18.75" hidden="1">
      <c r="A200" s="1786"/>
      <c r="B200" s="1786"/>
      <c r="C200" s="376" t="s">
        <v>1197</v>
      </c>
      <c r="D200" s="2488"/>
      <c r="E200" s="2230"/>
      <c r="F200" s="2409"/>
      <c r="G200" s="2453"/>
      <c r="H200" s="1507"/>
      <c r="I200" s="658" t="s">
        <v>1196</v>
      </c>
      <c r="J200" s="578"/>
      <c r="K200" s="1507"/>
      <c r="L200" s="221"/>
      <c r="M200" s="348"/>
      <c r="N200" s="341"/>
      <c r="O200" s="1631"/>
      <c r="P200" s="1631"/>
      <c r="AH200" s="1638">
        <v>0</v>
      </c>
    </row>
    <row s="1642" customFormat="1" customHeight="1" ht="0.75" hidden="1">
      <c r="A201" s="1786"/>
      <c r="B201" s="1786"/>
      <c r="C201" s="376" t="s">
        <v>1204</v>
      </c>
      <c r="D201" s="2488"/>
      <c r="E201" s="2230"/>
      <c r="F201" s="2409"/>
      <c r="G201" s="407"/>
      <c r="H201" s="1507"/>
      <c r="I201" s="658"/>
      <c r="J201" s="578"/>
      <c r="K201" s="1507"/>
      <c r="L201" s="221"/>
      <c r="M201" s="348"/>
      <c r="N201" s="341"/>
      <c r="O201" s="1631"/>
      <c r="P201" s="1631"/>
      <c r="AH201" s="1638">
        <v>0</v>
      </c>
    </row>
    <row s="1642" customFormat="1" customHeight="1" ht="18.75" hidden="1">
      <c r="A202" s="1786" t="s">
        <v>269</v>
      </c>
      <c r="B202" s="1786" t="s">
        <v>270</v>
      </c>
      <c r="C202" s="376"/>
      <c r="D202" s="2488"/>
      <c r="E202" s="2230"/>
      <c r="F202" s="2409" t="str">
        <f>INDEX(PT_DIFFERENTIATION_VTAR,MATCH(A202,PT_DIFFERENTIATION_VTAR_ID,0))</f>
        <v>Тариф на транспортировку сточных вод</v>
      </c>
      <c r="G202" s="2453" t="str">
        <f>INDEX(PT_DIFFERENTIATION_NTAR,MATCH(B202,PT_DIFFERENTIATION_NTAR_ID,0))</f>
        <v/>
      </c>
      <c r="H202" s="1866"/>
      <c r="I202" s="1745"/>
      <c r="J202" s="1779"/>
      <c r="K202" s="1784"/>
      <c r="L202" s="1866" t="s">
        <v>305</v>
      </c>
      <c r="M202" s="348"/>
      <c r="N202" s="341"/>
      <c r="O202" s="1631"/>
      <c r="P202" s="1631"/>
      <c r="AH202" s="1638">
        <v>0</v>
      </c>
    </row>
    <row s="1642" customFormat="1" customHeight="1" ht="18.75" hidden="1">
      <c r="A203" s="1786"/>
      <c r="B203" s="1786"/>
      <c r="C203" s="376" t="s">
        <v>1197</v>
      </c>
      <c r="D203" s="2488"/>
      <c r="E203" s="2230"/>
      <c r="F203" s="2409"/>
      <c r="G203" s="2453"/>
      <c r="H203" s="1507"/>
      <c r="I203" s="658" t="s">
        <v>1196</v>
      </c>
      <c r="J203" s="578"/>
      <c r="K203" s="1507"/>
      <c r="L203" s="221"/>
      <c r="M203" s="348"/>
      <c r="N203" s="341"/>
      <c r="O203" s="1631"/>
      <c r="P203" s="1631"/>
      <c r="AH203" s="1638">
        <v>0</v>
      </c>
    </row>
    <row s="1642" customFormat="1" customHeight="1" ht="0.75" hidden="1">
      <c r="A204" s="1786"/>
      <c r="B204" s="1786"/>
      <c r="C204" s="376" t="s">
        <v>1204</v>
      </c>
      <c r="D204" s="2488"/>
      <c r="E204" s="2230"/>
      <c r="F204" s="2409"/>
      <c r="G204" s="407"/>
      <c r="H204" s="1507"/>
      <c r="I204" s="658"/>
      <c r="J204" s="578"/>
      <c r="K204" s="1507"/>
      <c r="L204" s="221"/>
      <c r="M204" s="348"/>
      <c r="N204" s="341"/>
      <c r="O204" s="1631"/>
      <c r="P204" s="1631"/>
      <c r="AH204" s="1638">
        <v>0</v>
      </c>
    </row>
    <row s="1642" customFormat="1" customHeight="1" ht="18.75" hidden="1">
      <c r="A205" s="1786" t="s">
        <v>274</v>
      </c>
      <c r="B205" s="1786" t="s">
        <v>275</v>
      </c>
      <c r="C205" s="376"/>
      <c r="D205" s="2488"/>
      <c r="E205" s="2230"/>
      <c r="F205" s="2409"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6"/>
      <c r="I205" s="1745"/>
      <c r="J205" s="1779"/>
      <c r="K205" s="1784"/>
      <c r="L205" s="1866" t="s">
        <v>305</v>
      </c>
      <c r="M205" s="348"/>
      <c r="N205" s="341"/>
      <c r="O205" s="1631"/>
      <c r="P205" s="1631"/>
      <c r="AH205" s="1638">
        <v>0</v>
      </c>
    </row>
    <row s="1642" customFormat="1" customHeight="1" ht="18.75" hidden="1">
      <c r="A206" s="1786"/>
      <c r="B206" s="1786"/>
      <c r="C206" s="376" t="s">
        <v>1197</v>
      </c>
      <c r="D206" s="2488"/>
      <c r="E206" s="2230"/>
      <c r="F206" s="2409"/>
      <c r="G206" s="2453"/>
      <c r="H206" s="1507"/>
      <c r="I206" s="658" t="s">
        <v>1196</v>
      </c>
      <c r="J206" s="578"/>
      <c r="K206" s="1507"/>
      <c r="L206" s="221"/>
      <c r="M206" s="348"/>
      <c r="N206" s="341"/>
      <c r="O206" s="1631"/>
      <c r="P206" s="1631"/>
      <c r="AH206" s="1638">
        <v>0</v>
      </c>
    </row>
    <row s="1642" customFormat="1" customHeight="1" ht="1.05">
      <c r="A207" s="1786"/>
      <c r="B207" s="1786"/>
      <c r="C207" s="376" t="s">
        <v>1204</v>
      </c>
      <c r="D207" s="2488"/>
      <c r="E207" s="2230"/>
      <c r="F207" s="2409"/>
      <c r="G207" s="407"/>
      <c r="H207" s="1507"/>
      <c r="I207" s="658"/>
      <c r="J207" s="578"/>
      <c r="K207" s="1507"/>
      <c r="L207" s="221"/>
      <c r="M207" s="348"/>
      <c r="N207" s="341"/>
      <c r="O207" s="1631"/>
      <c r="P207" s="1631"/>
      <c r="AH207" s="1638">
        <v>1</v>
      </c>
    </row>
    <row customHeight="1" ht="27.299999999999997">
      <c r="A208" s="1786"/>
      <c r="B208" s="1786"/>
      <c r="D208" s="383"/>
      <c r="E208" s="154" t="s">
        <v>111</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6"/>
      <c r="H208" s="2486"/>
      <c r="I208" s="2486"/>
      <c r="J208" s="2486"/>
      <c r="K208" s="2486"/>
      <c r="L208" s="2486"/>
      <c r="M208" s="304"/>
      <c r="N208" s="341"/>
      <c r="AH208" s="381">
        <v>26</v>
      </c>
    </row>
    <row s="1642" customFormat="1" customHeight="1" ht="60.75" hidden="1">
      <c r="A209" s="1786" t="s">
        <v>156</v>
      </c>
      <c r="B209" s="1786" t="s">
        <v>157</v>
      </c>
      <c r="C209" s="376"/>
      <c r="D209" s="2488"/>
      <c r="E209" s="2230"/>
      <c r="F209" s="240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6"/>
      <c r="I209" s="1745"/>
      <c r="J209" s="1779"/>
      <c r="K209" s="1784"/>
      <c r="L209" s="1866" t="s">
        <v>305</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1197</v>
      </c>
      <c r="D210" s="2488"/>
      <c r="E210" s="2230"/>
      <c r="F210" s="2409"/>
      <c r="G210" s="2453"/>
      <c r="H210" s="1507"/>
      <c r="I210" s="658" t="s">
        <v>1196</v>
      </c>
      <c r="J210" s="578"/>
      <c r="K210" s="1507"/>
      <c r="L210" s="221"/>
      <c r="M210" s="2196"/>
      <c r="N210" s="341"/>
      <c r="O210" s="1631"/>
      <c r="P210" s="1631"/>
      <c r="AH210" s="1638">
        <v>0</v>
      </c>
    </row>
    <row s="1642" customFormat="1" customHeight="1" ht="0.75" hidden="1">
      <c r="A211" s="1786"/>
      <c r="B211" s="1786"/>
      <c r="C211" s="376" t="s">
        <v>1204</v>
      </c>
      <c r="D211" s="2488"/>
      <c r="E211" s="2230"/>
      <c r="F211" s="2409"/>
      <c r="G211" s="407"/>
      <c r="H211" s="1507"/>
      <c r="I211" s="658"/>
      <c r="J211" s="578"/>
      <c r="K211" s="1507"/>
      <c r="L211" s="221"/>
      <c r="M211" s="2196"/>
      <c r="N211" s="341"/>
      <c r="O211" s="1631"/>
      <c r="P211" s="1631"/>
      <c r="AH211" s="1638">
        <v>0</v>
      </c>
    </row>
    <row s="1642" customFormat="1" customHeight="1" ht="45" hidden="1">
      <c r="A212" s="1786" t="s">
        <v>161</v>
      </c>
      <c r="B212" s="1786" t="s">
        <v>162</v>
      </c>
      <c r="C212" s="376"/>
      <c r="D212" s="2488"/>
      <c r="E212" s="2230"/>
      <c r="F212" s="2409" t="str">
        <f>INDEX(PT_DIFFERENTIATION_VTAR,MATCH(A212,PT_DIFFERENTIATION_VTAR_ID,0))</f>
        <v/>
      </c>
      <c r="G212" s="2453" t="str">
        <f>INDEX(PT_DIFFERENTIATION_NTAR,MATCH(B212,PT_DIFFERENTIATION_NTAR_ID,0))</f>
        <v/>
      </c>
      <c r="H212" s="1866"/>
      <c r="I212" s="1745"/>
      <c r="J212" s="1779"/>
      <c r="K212" s="1784"/>
      <c r="L212" s="1866" t="s">
        <v>305</v>
      </c>
      <c r="M212" s="2197"/>
      <c r="N212" s="341"/>
      <c r="O212" s="1631"/>
      <c r="P212" s="1631"/>
      <c r="AH212" s="1638">
        <v>0</v>
      </c>
    </row>
    <row s="1642" customFormat="1" customHeight="1" ht="18.75" hidden="1">
      <c r="A213" s="1786"/>
      <c r="B213" s="1786"/>
      <c r="C213" s="376" t="s">
        <v>1197</v>
      </c>
      <c r="D213" s="2488"/>
      <c r="E213" s="2230"/>
      <c r="F213" s="2409"/>
      <c r="G213" s="2453"/>
      <c r="H213" s="1507"/>
      <c r="I213" s="658" t="s">
        <v>1196</v>
      </c>
      <c r="J213" s="578"/>
      <c r="K213" s="1507"/>
      <c r="L213" s="221"/>
      <c r="M213" s="1865"/>
      <c r="N213" s="341"/>
      <c r="O213" s="1631"/>
      <c r="P213" s="1631"/>
      <c r="AH213" s="1638">
        <v>0</v>
      </c>
    </row>
    <row s="1642" customFormat="1" customHeight="1" ht="0.75" hidden="1">
      <c r="A214" s="1786"/>
      <c r="B214" s="1786"/>
      <c r="C214" s="376" t="s">
        <v>1204</v>
      </c>
      <c r="D214" s="2488"/>
      <c r="E214" s="2230"/>
      <c r="F214" s="2409"/>
      <c r="G214" s="407"/>
      <c r="H214" s="1507"/>
      <c r="I214" s="658"/>
      <c r="J214" s="578"/>
      <c r="K214" s="1507"/>
      <c r="L214" s="221"/>
      <c r="M214" s="348"/>
      <c r="N214" s="341"/>
      <c r="O214" s="1631"/>
      <c r="P214" s="1631"/>
      <c r="AH214" s="1638">
        <v>0</v>
      </c>
    </row>
    <row s="1642" customFormat="1" customHeight="1" ht="45" hidden="1">
      <c r="A215" s="1786" t="s">
        <v>168</v>
      </c>
      <c r="B215" s="1786" t="s">
        <v>169</v>
      </c>
      <c r="C215" s="376"/>
      <c r="D215" s="2488"/>
      <c r="E215" s="2230"/>
      <c r="F215" s="240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6"/>
      <c r="I215" s="1745"/>
      <c r="J215" s="1779"/>
      <c r="K215" s="1784"/>
      <c r="L215" s="1866" t="s">
        <v>305</v>
      </c>
      <c r="M215" s="348"/>
      <c r="N215" s="341"/>
      <c r="O215" s="1631"/>
      <c r="P215" s="1631"/>
      <c r="AH215" s="1638">
        <v>0</v>
      </c>
    </row>
    <row s="1642" customFormat="1" customHeight="1" ht="18.75" hidden="1">
      <c r="A216" s="1786"/>
      <c r="B216" s="1786"/>
      <c r="C216" s="376" t="s">
        <v>1197</v>
      </c>
      <c r="D216" s="2488"/>
      <c r="E216" s="2230"/>
      <c r="F216" s="2409"/>
      <c r="G216" s="2453"/>
      <c r="H216" s="1507"/>
      <c r="I216" s="658" t="s">
        <v>1196</v>
      </c>
      <c r="J216" s="578"/>
      <c r="K216" s="1507"/>
      <c r="L216" s="221"/>
      <c r="M216" s="348"/>
      <c r="N216" s="341"/>
      <c r="O216" s="1631"/>
      <c r="P216" s="1631"/>
      <c r="AH216" s="1638">
        <v>0</v>
      </c>
    </row>
    <row s="1642" customFormat="1" customHeight="1" ht="0.75" hidden="1">
      <c r="A217" s="1786"/>
      <c r="B217" s="1786"/>
      <c r="C217" s="376" t="s">
        <v>1204</v>
      </c>
      <c r="D217" s="2488"/>
      <c r="E217" s="2230"/>
      <c r="F217" s="2409"/>
      <c r="G217" s="407"/>
      <c r="H217" s="1507"/>
      <c r="I217" s="658"/>
      <c r="J217" s="578"/>
      <c r="K217" s="1507"/>
      <c r="L217" s="221"/>
      <c r="M217" s="348"/>
      <c r="N217" s="341"/>
      <c r="O217" s="1631"/>
      <c r="P217" s="1631"/>
      <c r="AH217" s="1638">
        <v>0</v>
      </c>
    </row>
    <row s="1642" customFormat="1" customHeight="1" ht="45" hidden="1">
      <c r="A218" s="1786" t="s">
        <v>174</v>
      </c>
      <c r="B218" s="1786" t="s">
        <v>175</v>
      </c>
      <c r="C218" s="376"/>
      <c r="D218" s="2488"/>
      <c r="E218" s="2230"/>
      <c r="F218" s="240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6"/>
      <c r="I218" s="1745"/>
      <c r="J218" s="1779"/>
      <c r="K218" s="1784"/>
      <c r="L218" s="1866" t="s">
        <v>305</v>
      </c>
      <c r="M218" s="348"/>
      <c r="N218" s="341"/>
      <c r="O218" s="1631"/>
      <c r="P218" s="1631"/>
      <c r="AH218" s="1638">
        <v>0</v>
      </c>
    </row>
    <row s="1642" customFormat="1" customHeight="1" ht="18.75" hidden="1">
      <c r="A219" s="1786"/>
      <c r="B219" s="1786"/>
      <c r="C219" s="376" t="s">
        <v>1197</v>
      </c>
      <c r="D219" s="2488"/>
      <c r="E219" s="2230"/>
      <c r="F219" s="2409"/>
      <c r="G219" s="2453"/>
      <c r="H219" s="1507"/>
      <c r="I219" s="658" t="s">
        <v>1196</v>
      </c>
      <c r="J219" s="578"/>
      <c r="K219" s="1507"/>
      <c r="L219" s="221"/>
      <c r="M219" s="348"/>
      <c r="N219" s="341"/>
      <c r="O219" s="1631"/>
      <c r="P219" s="1631"/>
      <c r="AH219" s="1638">
        <v>0</v>
      </c>
    </row>
    <row s="1642" customFormat="1" customHeight="1" ht="0.75" hidden="1">
      <c r="A220" s="1786"/>
      <c r="B220" s="1786"/>
      <c r="C220" s="376" t="s">
        <v>1204</v>
      </c>
      <c r="D220" s="2488"/>
      <c r="E220" s="2230"/>
      <c r="F220" s="2409"/>
      <c r="G220" s="407"/>
      <c r="H220" s="1507"/>
      <c r="I220" s="658"/>
      <c r="J220" s="578"/>
      <c r="K220" s="1507"/>
      <c r="L220" s="221"/>
      <c r="M220" s="348"/>
      <c r="N220" s="341"/>
      <c r="O220" s="1631"/>
      <c r="P220" s="1631"/>
      <c r="AH220" s="1638">
        <v>0</v>
      </c>
    </row>
    <row s="1642" customFormat="1" customHeight="1" ht="18.75" hidden="1">
      <c r="A221" s="1786" t="s">
        <v>180</v>
      </c>
      <c r="B221" s="1786" t="s">
        <v>181</v>
      </c>
      <c r="C221" s="376"/>
      <c r="D221" s="2488"/>
      <c r="E221" s="2230"/>
      <c r="F221" s="2409" t="str">
        <f>INDEX(PT_DIFFERENTIATION_VTAR,MATCH(A221,PT_DIFFERENTIATION_VTAR_ID,0))</f>
        <v>Тарифы на услуги по передаче тепловой энергии</v>
      </c>
      <c r="G221" s="2453" t="str">
        <f>INDEX(PT_DIFFERENTIATION_NTAR,MATCH(B221,PT_DIFFERENTIATION_NTAR_ID,0))</f>
        <v/>
      </c>
      <c r="H221" s="1866"/>
      <c r="I221" s="1745"/>
      <c r="J221" s="1779"/>
      <c r="K221" s="1784"/>
      <c r="L221" s="1866" t="s">
        <v>305</v>
      </c>
      <c r="M221" s="348"/>
      <c r="N221" s="341"/>
      <c r="O221" s="1631"/>
      <c r="P221" s="1631"/>
      <c r="AH221" s="1638">
        <v>0</v>
      </c>
    </row>
    <row s="1642" customFormat="1" customHeight="1" ht="18.75" hidden="1">
      <c r="A222" s="1786"/>
      <c r="B222" s="1786"/>
      <c r="C222" s="376" t="s">
        <v>1197</v>
      </c>
      <c r="D222" s="2488"/>
      <c r="E222" s="2230"/>
      <c r="F222" s="2409"/>
      <c r="G222" s="2453"/>
      <c r="H222" s="1507"/>
      <c r="I222" s="658" t="s">
        <v>1196</v>
      </c>
      <c r="J222" s="578"/>
      <c r="K222" s="1507"/>
      <c r="L222" s="221"/>
      <c r="M222" s="348"/>
      <c r="N222" s="341"/>
      <c r="O222" s="1631"/>
      <c r="P222" s="1631"/>
      <c r="AH222" s="1638">
        <v>0</v>
      </c>
    </row>
    <row s="1642" customFormat="1" customHeight="1" ht="0.75" hidden="1">
      <c r="A223" s="1786"/>
      <c r="B223" s="1786"/>
      <c r="C223" s="376" t="s">
        <v>1204</v>
      </c>
      <c r="D223" s="2488"/>
      <c r="E223" s="2230"/>
      <c r="F223" s="2409"/>
      <c r="G223" s="407"/>
      <c r="H223" s="1507"/>
      <c r="I223" s="658"/>
      <c r="J223" s="578"/>
      <c r="K223" s="1507"/>
      <c r="L223" s="221"/>
      <c r="M223" s="348"/>
      <c r="N223" s="341"/>
      <c r="O223" s="1631"/>
      <c r="P223" s="1631"/>
      <c r="AH223" s="1638">
        <v>0</v>
      </c>
    </row>
    <row s="1642" customFormat="1" customHeight="1" ht="18.75" hidden="1">
      <c r="A224" s="1786" t="s">
        <v>186</v>
      </c>
      <c r="B224" s="1786" t="s">
        <v>187</v>
      </c>
      <c r="C224" s="376"/>
      <c r="D224" s="2488"/>
      <c r="E224" s="2230"/>
      <c r="F224" s="2409" t="str">
        <f>INDEX(PT_DIFFERENTIATION_VTAR,MATCH(A224,PT_DIFFERENTIATION_VTAR_ID,0))</f>
        <v>Тарифы на услуги по передаче теплоносителя</v>
      </c>
      <c r="G224" s="2453" t="str">
        <f>INDEX(PT_DIFFERENTIATION_NTAR,MATCH(B224,PT_DIFFERENTIATION_NTAR_ID,0))</f>
        <v/>
      </c>
      <c r="H224" s="1866"/>
      <c r="I224" s="1745"/>
      <c r="J224" s="1779"/>
      <c r="K224" s="1784"/>
      <c r="L224" s="1866" t="s">
        <v>305</v>
      </c>
      <c r="M224" s="348"/>
      <c r="N224" s="341"/>
      <c r="O224" s="1631"/>
      <c r="P224" s="1631"/>
      <c r="AH224" s="1638">
        <v>0</v>
      </c>
    </row>
    <row s="1642" customFormat="1" customHeight="1" ht="18.75" hidden="1">
      <c r="A225" s="1786"/>
      <c r="B225" s="1786"/>
      <c r="C225" s="376" t="s">
        <v>1197</v>
      </c>
      <c r="D225" s="2488"/>
      <c r="E225" s="2230"/>
      <c r="F225" s="2409"/>
      <c r="G225" s="2453"/>
      <c r="H225" s="1507"/>
      <c r="I225" s="658" t="s">
        <v>1196</v>
      </c>
      <c r="J225" s="578"/>
      <c r="K225" s="1507"/>
      <c r="L225" s="221"/>
      <c r="M225" s="348"/>
      <c r="N225" s="341"/>
      <c r="O225" s="1631"/>
      <c r="P225" s="1631"/>
      <c r="AH225" s="1638">
        <v>0</v>
      </c>
    </row>
    <row s="1642" customFormat="1" customHeight="1" ht="0.75" hidden="1">
      <c r="A226" s="1786"/>
      <c r="B226" s="1786"/>
      <c r="C226" s="376" t="s">
        <v>1204</v>
      </c>
      <c r="D226" s="2488"/>
      <c r="E226" s="2230"/>
      <c r="F226" s="2409"/>
      <c r="G226" s="407"/>
      <c r="H226" s="1507"/>
      <c r="I226" s="658"/>
      <c r="J226" s="578"/>
      <c r="K226" s="1507"/>
      <c r="L226" s="221"/>
      <c r="M226" s="348"/>
      <c r="N226" s="341"/>
      <c r="O226" s="1631"/>
      <c r="P226" s="1631"/>
      <c r="AH226" s="1638">
        <v>0</v>
      </c>
    </row>
    <row s="1642" customFormat="1" customHeight="1" ht="18.75" hidden="1">
      <c r="A227" s="1786" t="s">
        <v>192</v>
      </c>
      <c r="B227" s="1786" t="s">
        <v>193</v>
      </c>
      <c r="C227" s="376"/>
      <c r="D227" s="2488"/>
      <c r="E227" s="2230"/>
      <c r="F227" s="240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6"/>
      <c r="I227" s="1745"/>
      <c r="J227" s="1779"/>
      <c r="K227" s="1784"/>
      <c r="L227" s="1866" t="s">
        <v>305</v>
      </c>
      <c r="M227" s="348"/>
      <c r="N227" s="341"/>
      <c r="O227" s="1631"/>
      <c r="P227" s="1631"/>
      <c r="AH227" s="1638">
        <v>0</v>
      </c>
    </row>
    <row s="1642" customFormat="1" customHeight="1" ht="18.75" hidden="1">
      <c r="A228" s="1786"/>
      <c r="B228" s="1786"/>
      <c r="C228" s="376" t="s">
        <v>1197</v>
      </c>
      <c r="D228" s="2488"/>
      <c r="E228" s="2230"/>
      <c r="F228" s="2409"/>
      <c r="G228" s="2453"/>
      <c r="H228" s="1507"/>
      <c r="I228" s="658" t="s">
        <v>1196</v>
      </c>
      <c r="J228" s="578"/>
      <c r="K228" s="1507"/>
      <c r="L228" s="221"/>
      <c r="M228" s="348"/>
      <c r="N228" s="341"/>
      <c r="O228" s="1631"/>
      <c r="P228" s="1631"/>
      <c r="AH228" s="1638">
        <v>0</v>
      </c>
    </row>
    <row s="1642" customFormat="1" customHeight="1" ht="0.75" hidden="1">
      <c r="A229" s="1786"/>
      <c r="B229" s="1786"/>
      <c r="C229" s="376" t="s">
        <v>1204</v>
      </c>
      <c r="D229" s="2488"/>
      <c r="E229" s="2230"/>
      <c r="F229" s="2409"/>
      <c r="G229" s="407"/>
      <c r="H229" s="1507"/>
      <c r="I229" s="658"/>
      <c r="J229" s="578"/>
      <c r="K229" s="1507"/>
      <c r="L229" s="221"/>
      <c r="M229" s="348"/>
      <c r="N229" s="341"/>
      <c r="O229" s="1631"/>
      <c r="P229" s="1631"/>
      <c r="AH229" s="1638">
        <v>0</v>
      </c>
    </row>
    <row s="1642" customFormat="1" customHeight="1" ht="18.75" hidden="1">
      <c r="A230" s="1786" t="s">
        <v>198</v>
      </c>
      <c r="B230" s="1786" t="s">
        <v>199</v>
      </c>
      <c r="C230" s="376"/>
      <c r="D230" s="2488"/>
      <c r="E230" s="2230"/>
      <c r="F230" s="2409"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6"/>
      <c r="I230" s="1745"/>
      <c r="J230" s="1779"/>
      <c r="K230" s="1784"/>
      <c r="L230" s="1866" t="s">
        <v>305</v>
      </c>
      <c r="M230" s="348"/>
      <c r="N230" s="341"/>
      <c r="O230" s="1631"/>
      <c r="P230" s="1631"/>
      <c r="AH230" s="1638">
        <v>0</v>
      </c>
    </row>
    <row s="1642" customFormat="1" customHeight="1" ht="18.75" hidden="1">
      <c r="A231" s="1786"/>
      <c r="B231" s="1786"/>
      <c r="C231" s="376" t="s">
        <v>1197</v>
      </c>
      <c r="D231" s="2488"/>
      <c r="E231" s="2230"/>
      <c r="F231" s="2409"/>
      <c r="G231" s="2453"/>
      <c r="H231" s="1507"/>
      <c r="I231" s="658" t="s">
        <v>1196</v>
      </c>
      <c r="J231" s="578"/>
      <c r="K231" s="1507"/>
      <c r="L231" s="221"/>
      <c r="M231" s="348"/>
      <c r="N231" s="341"/>
      <c r="O231" s="1631"/>
      <c r="P231" s="1631"/>
      <c r="AH231" s="1638">
        <v>0</v>
      </c>
    </row>
    <row s="1642" customFormat="1" customHeight="1" ht="0.75" hidden="1">
      <c r="A232" s="1786"/>
      <c r="B232" s="1786"/>
      <c r="C232" s="376" t="s">
        <v>1204</v>
      </c>
      <c r="D232" s="2488"/>
      <c r="E232" s="2230"/>
      <c r="F232" s="2409"/>
      <c r="G232" s="407"/>
      <c r="H232" s="1507"/>
      <c r="I232" s="658"/>
      <c r="J232" s="578"/>
      <c r="K232" s="1507"/>
      <c r="L232" s="221"/>
      <c r="M232" s="348"/>
      <c r="N232" s="341"/>
      <c r="O232" s="1631"/>
      <c r="P232" s="1631"/>
      <c r="AH232" s="1638">
        <v>0</v>
      </c>
    </row>
    <row s="1642" customFormat="1" customHeight="1" ht="18.75" hidden="1">
      <c r="A233" s="1786" t="s">
        <v>204</v>
      </c>
      <c r="B233" s="1786" t="s">
        <v>205</v>
      </c>
      <c r="C233" s="376"/>
      <c r="D233" s="2488"/>
      <c r="E233" s="2230"/>
      <c r="F233" s="2409"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93"/>
      <c r="I233" s="1745"/>
      <c r="J233" s="1779"/>
      <c r="K233" s="1784"/>
      <c r="L233" s="1993" t="s">
        <v>305</v>
      </c>
      <c r="M233" s="348"/>
      <c r="N233" s="341"/>
      <c r="O233" s="1631"/>
      <c r="P233" s="1631"/>
      <c r="AH233" s="1638">
        <v>0</v>
      </c>
    </row>
    <row s="1642" customFormat="1" customHeight="1" ht="18.75" hidden="1">
      <c r="A234" s="1786"/>
      <c r="B234" s="1786"/>
      <c r="C234" s="376" t="s">
        <v>1197</v>
      </c>
      <c r="D234" s="2488"/>
      <c r="E234" s="2230"/>
      <c r="F234" s="2409"/>
      <c r="G234" s="2453"/>
      <c r="H234" s="1507"/>
      <c r="I234" s="658" t="s">
        <v>1196</v>
      </c>
      <c r="J234" s="578"/>
      <c r="K234" s="1507"/>
      <c r="L234" s="221"/>
      <c r="M234" s="348"/>
      <c r="N234" s="341"/>
      <c r="O234" s="1631"/>
      <c r="P234" s="1631"/>
      <c r="AH234" s="1638">
        <v>0</v>
      </c>
    </row>
    <row s="1642" customFormat="1" customHeight="1" ht="0.75" hidden="1">
      <c r="A235" s="1786"/>
      <c r="B235" s="1786"/>
      <c r="C235" s="376" t="s">
        <v>1204</v>
      </c>
      <c r="D235" s="2488"/>
      <c r="E235" s="2230"/>
      <c r="F235" s="2409"/>
      <c r="G235" s="407"/>
      <c r="H235" s="1507"/>
      <c r="I235" s="658"/>
      <c r="J235" s="578"/>
      <c r="K235" s="1507"/>
      <c r="L235" s="221"/>
      <c r="M235" s="348"/>
      <c r="N235" s="341"/>
      <c r="O235" s="1631"/>
      <c r="P235" s="1631"/>
      <c r="AH235" s="1638">
        <v>0</v>
      </c>
    </row>
    <row s="1642" customFormat="1" customHeight="1" ht="18.75" hidden="1">
      <c r="A236" s="1786" t="s">
        <v>224</v>
      </c>
      <c r="B236" s="1786" t="s">
        <v>225</v>
      </c>
      <c r="C236" s="376"/>
      <c r="D236" s="2488"/>
      <c r="E236" s="2230"/>
      <c r="F236" s="2409" t="str">
        <f>INDEX(PT_DIFFERENTIATION_VTAR,MATCH(A236,PT_DIFFERENTIATION_VTAR_ID,0))</f>
        <v>Тариф на питьевую воду (питьевое водоснабжение)</v>
      </c>
      <c r="G236" s="2453" t="str">
        <f>INDEX(PT_DIFFERENTIATION_NTAR,MATCH(B236,PT_DIFFERENTIATION_NTAR_ID,0))</f>
        <v/>
      </c>
      <c r="H236" s="1866"/>
      <c r="I236" s="1745"/>
      <c r="J236" s="1779"/>
      <c r="K236" s="1784"/>
      <c r="L236" s="1866" t="s">
        <v>305</v>
      </c>
      <c r="M236" s="348"/>
      <c r="N236" s="341"/>
      <c r="O236" s="1631"/>
      <c r="P236" s="1631"/>
      <c r="AH236" s="1638">
        <v>0</v>
      </c>
    </row>
    <row s="1642" customFormat="1" customHeight="1" ht="18.75" hidden="1">
      <c r="A237" s="1786"/>
      <c r="B237" s="1786"/>
      <c r="C237" s="376" t="s">
        <v>1197</v>
      </c>
      <c r="D237" s="2488"/>
      <c r="E237" s="2230"/>
      <c r="F237" s="2409"/>
      <c r="G237" s="2453"/>
      <c r="H237" s="1507"/>
      <c r="I237" s="658" t="s">
        <v>1196</v>
      </c>
      <c r="J237" s="578"/>
      <c r="K237" s="1507"/>
      <c r="L237" s="221"/>
      <c r="M237" s="348"/>
      <c r="N237" s="341"/>
      <c r="O237" s="1631"/>
      <c r="P237" s="1631"/>
      <c r="AH237" s="1638">
        <v>0</v>
      </c>
    </row>
    <row s="1642" customFormat="1" customHeight="1" ht="0.75" hidden="1">
      <c r="A238" s="1786"/>
      <c r="B238" s="1786"/>
      <c r="C238" s="376" t="s">
        <v>1204</v>
      </c>
      <c r="D238" s="2488"/>
      <c r="E238" s="2230"/>
      <c r="F238" s="2409"/>
      <c r="G238" s="407"/>
      <c r="H238" s="1507"/>
      <c r="I238" s="658"/>
      <c r="J238" s="578"/>
      <c r="K238" s="1507"/>
      <c r="L238" s="221"/>
      <c r="M238" s="348"/>
      <c r="N238" s="341"/>
      <c r="O238" s="1631"/>
      <c r="P238" s="1631"/>
      <c r="AH238" s="1638">
        <v>0</v>
      </c>
    </row>
    <row s="1642" customFormat="1" customHeight="1" ht="18.75" hidden="1">
      <c r="A239" s="1786" t="s">
        <v>229</v>
      </c>
      <c r="B239" s="1786" t="s">
        <v>230</v>
      </c>
      <c r="C239" s="376"/>
      <c r="D239" s="2488"/>
      <c r="E239" s="2230"/>
      <c r="F239" s="2409" t="str">
        <f>INDEX(PT_DIFFERENTIATION_VTAR,MATCH(A239,PT_DIFFERENTIATION_VTAR_ID,0))</f>
        <v>Тариф на техническую воду</v>
      </c>
      <c r="G239" s="2453" t="str">
        <f>INDEX(PT_DIFFERENTIATION_NTAR,MATCH(B239,PT_DIFFERENTIATION_NTAR_ID,0))</f>
        <v/>
      </c>
      <c r="H239" s="1866"/>
      <c r="I239" s="1745"/>
      <c r="J239" s="1779"/>
      <c r="K239" s="1784"/>
      <c r="L239" s="1866" t="s">
        <v>305</v>
      </c>
      <c r="M239" s="348"/>
      <c r="N239" s="341"/>
      <c r="O239" s="1631"/>
      <c r="P239" s="1631"/>
      <c r="AH239" s="1638">
        <v>0</v>
      </c>
    </row>
    <row s="1642" customFormat="1" customHeight="1" ht="18.75" hidden="1">
      <c r="A240" s="1786"/>
      <c r="B240" s="1786"/>
      <c r="C240" s="376" t="s">
        <v>1197</v>
      </c>
      <c r="D240" s="2488"/>
      <c r="E240" s="2230"/>
      <c r="F240" s="2409"/>
      <c r="G240" s="2453"/>
      <c r="H240" s="1507"/>
      <c r="I240" s="658" t="s">
        <v>1196</v>
      </c>
      <c r="J240" s="578"/>
      <c r="K240" s="1507"/>
      <c r="L240" s="221"/>
      <c r="M240" s="348"/>
      <c r="N240" s="341"/>
      <c r="O240" s="1631"/>
      <c r="P240" s="1631"/>
      <c r="AH240" s="1638">
        <v>0</v>
      </c>
    </row>
    <row s="1642" customFormat="1" customHeight="1" ht="0.75" hidden="1">
      <c r="A241" s="1786"/>
      <c r="B241" s="1786"/>
      <c r="C241" s="376" t="s">
        <v>1204</v>
      </c>
      <c r="D241" s="2488"/>
      <c r="E241" s="2230"/>
      <c r="F241" s="2409"/>
      <c r="G241" s="407"/>
      <c r="H241" s="1507"/>
      <c r="I241" s="658"/>
      <c r="J241" s="578"/>
      <c r="K241" s="1507"/>
      <c r="L241" s="221"/>
      <c r="M241" s="348"/>
      <c r="N241" s="341"/>
      <c r="O241" s="1631"/>
      <c r="P241" s="1631"/>
      <c r="AH241" s="1638">
        <v>0</v>
      </c>
    </row>
    <row s="1642" customFormat="1" customHeight="1" ht="18.75" hidden="1">
      <c r="A242" s="1786" t="s">
        <v>234</v>
      </c>
      <c r="B242" s="1786" t="s">
        <v>235</v>
      </c>
      <c r="C242" s="376"/>
      <c r="D242" s="2488"/>
      <c r="E242" s="2230"/>
      <c r="F242" s="2409" t="str">
        <f>INDEX(PT_DIFFERENTIATION_VTAR,MATCH(A242,PT_DIFFERENTIATION_VTAR_ID,0))</f>
        <v>Тариф на транспортировку воды</v>
      </c>
      <c r="G242" s="2453" t="str">
        <f>INDEX(PT_DIFFERENTIATION_NTAR,MATCH(B242,PT_DIFFERENTIATION_NTAR_ID,0))</f>
        <v/>
      </c>
      <c r="H242" s="1866"/>
      <c r="I242" s="1745"/>
      <c r="J242" s="1779"/>
      <c r="K242" s="1784"/>
      <c r="L242" s="1866" t="s">
        <v>305</v>
      </c>
      <c r="M242" s="348"/>
      <c r="N242" s="341"/>
      <c r="O242" s="1631"/>
      <c r="P242" s="1631"/>
      <c r="AH242" s="1638">
        <v>0</v>
      </c>
    </row>
    <row s="1642" customFormat="1" customHeight="1" ht="18.75" hidden="1">
      <c r="A243" s="1786"/>
      <c r="B243" s="1786"/>
      <c r="C243" s="376" t="s">
        <v>1197</v>
      </c>
      <c r="D243" s="2488"/>
      <c r="E243" s="2230"/>
      <c r="F243" s="2409"/>
      <c r="G243" s="2453"/>
      <c r="H243" s="1507"/>
      <c r="I243" s="658" t="s">
        <v>1196</v>
      </c>
      <c r="J243" s="578"/>
      <c r="K243" s="1507"/>
      <c r="L243" s="221"/>
      <c r="M243" s="348"/>
      <c r="N243" s="341"/>
      <c r="O243" s="1631"/>
      <c r="P243" s="1631"/>
      <c r="AH243" s="1638">
        <v>0</v>
      </c>
    </row>
    <row s="1642" customFormat="1" customHeight="1" ht="0.75" hidden="1">
      <c r="A244" s="1786"/>
      <c r="B244" s="1786"/>
      <c r="C244" s="376" t="s">
        <v>1204</v>
      </c>
      <c r="D244" s="2488"/>
      <c r="E244" s="2230"/>
      <c r="F244" s="2409"/>
      <c r="G244" s="407"/>
      <c r="H244" s="1507"/>
      <c r="I244" s="658"/>
      <c r="J244" s="578"/>
      <c r="K244" s="1507"/>
      <c r="L244" s="221"/>
      <c r="M244" s="348"/>
      <c r="N244" s="341"/>
      <c r="O244" s="1631"/>
      <c r="P244" s="1631"/>
      <c r="AH244" s="1638">
        <v>0</v>
      </c>
    </row>
    <row s="1642" customFormat="1" customHeight="1" ht="18.75" hidden="1">
      <c r="A245" s="1786" t="s">
        <v>239</v>
      </c>
      <c r="B245" s="1786" t="s">
        <v>240</v>
      </c>
      <c r="C245" s="376"/>
      <c r="D245" s="2488"/>
      <c r="E245" s="2230"/>
      <c r="F245" s="2409" t="str">
        <f>INDEX(PT_DIFFERENTIATION_VTAR,MATCH(A245,PT_DIFFERENTIATION_VTAR_ID,0))</f>
        <v>Тариф на подвоз воды</v>
      </c>
      <c r="G245" s="2453" t="str">
        <f>INDEX(PT_DIFFERENTIATION_NTAR,MATCH(B245,PT_DIFFERENTIATION_NTAR_ID,0))</f>
        <v/>
      </c>
      <c r="H245" s="1866"/>
      <c r="I245" s="1745"/>
      <c r="J245" s="1779"/>
      <c r="K245" s="1784"/>
      <c r="L245" s="1866" t="s">
        <v>305</v>
      </c>
      <c r="M245" s="348"/>
      <c r="N245" s="341"/>
      <c r="O245" s="1631"/>
      <c r="P245" s="1631"/>
      <c r="AH245" s="1638">
        <v>0</v>
      </c>
    </row>
    <row s="1642" customFormat="1" customHeight="1" ht="18.75" hidden="1">
      <c r="A246" s="1786"/>
      <c r="B246" s="1786"/>
      <c r="C246" s="376" t="s">
        <v>1197</v>
      </c>
      <c r="D246" s="2488"/>
      <c r="E246" s="2230"/>
      <c r="F246" s="2409"/>
      <c r="G246" s="2453"/>
      <c r="H246" s="1507"/>
      <c r="I246" s="658" t="s">
        <v>1196</v>
      </c>
      <c r="J246" s="578"/>
      <c r="K246" s="1507"/>
      <c r="L246" s="221"/>
      <c r="M246" s="348"/>
      <c r="N246" s="341"/>
      <c r="O246" s="1631"/>
      <c r="P246" s="1631"/>
      <c r="AH246" s="1638">
        <v>0</v>
      </c>
    </row>
    <row s="1642" customFormat="1" customHeight="1" ht="0.75" hidden="1">
      <c r="A247" s="1786"/>
      <c r="B247" s="1786"/>
      <c r="C247" s="376" t="s">
        <v>1204</v>
      </c>
      <c r="D247" s="2488"/>
      <c r="E247" s="2230"/>
      <c r="F247" s="2409"/>
      <c r="G247" s="407"/>
      <c r="H247" s="1507"/>
      <c r="I247" s="658"/>
      <c r="J247" s="578"/>
      <c r="K247" s="1507"/>
      <c r="L247" s="221"/>
      <c r="M247" s="348"/>
      <c r="N247" s="341"/>
      <c r="O247" s="1631"/>
      <c r="P247" s="1631"/>
      <c r="AH247" s="1638">
        <v>0</v>
      </c>
    </row>
    <row s="1642" customFormat="1" customHeight="1" ht="18.75" hidden="1">
      <c r="A248" s="1786" t="s">
        <v>244</v>
      </c>
      <c r="B248" s="1786" t="s">
        <v>245</v>
      </c>
      <c r="C248" s="376"/>
      <c r="D248" s="2488"/>
      <c r="E248" s="2230"/>
      <c r="F248" s="240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6"/>
      <c r="I248" s="1745"/>
      <c r="J248" s="1779"/>
      <c r="K248" s="1784"/>
      <c r="L248" s="1866" t="s">
        <v>305</v>
      </c>
      <c r="M248" s="348"/>
      <c r="N248" s="341"/>
      <c r="O248" s="1631"/>
      <c r="P248" s="1631"/>
      <c r="AH248" s="1638">
        <v>0</v>
      </c>
    </row>
    <row s="1642" customFormat="1" customHeight="1" ht="18.75" hidden="1">
      <c r="A249" s="1786"/>
      <c r="B249" s="1786"/>
      <c r="C249" s="376" t="s">
        <v>1197</v>
      </c>
      <c r="D249" s="2488"/>
      <c r="E249" s="2230"/>
      <c r="F249" s="2409"/>
      <c r="G249" s="2453"/>
      <c r="H249" s="1507"/>
      <c r="I249" s="658" t="s">
        <v>1196</v>
      </c>
      <c r="J249" s="578"/>
      <c r="K249" s="1507"/>
      <c r="L249" s="221"/>
      <c r="M249" s="348"/>
      <c r="N249" s="341"/>
      <c r="O249" s="1631"/>
      <c r="P249" s="1631"/>
      <c r="AH249" s="1638">
        <v>0</v>
      </c>
    </row>
    <row s="1642" customFormat="1" customHeight="1" ht="0.75" hidden="1">
      <c r="A250" s="1786"/>
      <c r="B250" s="1786"/>
      <c r="C250" s="376" t="s">
        <v>1204</v>
      </c>
      <c r="D250" s="2488"/>
      <c r="E250" s="2230"/>
      <c r="F250" s="2409"/>
      <c r="G250" s="407"/>
      <c r="H250" s="1507"/>
      <c r="I250" s="658"/>
      <c r="J250" s="578"/>
      <c r="K250" s="1507"/>
      <c r="L250" s="221"/>
      <c r="M250" s="348"/>
      <c r="N250" s="341"/>
      <c r="O250" s="1631"/>
      <c r="P250" s="1631"/>
      <c r="AH250" s="1638">
        <v>0</v>
      </c>
    </row>
    <row s="1642" customFormat="1" customHeight="1" ht="18.75" hidden="1">
      <c r="A251" s="1786" t="s">
        <v>249</v>
      </c>
      <c r="B251" s="1786" t="s">
        <v>250</v>
      </c>
      <c r="C251" s="376"/>
      <c r="D251" s="2488"/>
      <c r="E251" s="2230"/>
      <c r="F251" s="2409" t="str">
        <f>INDEX(PT_DIFFERENTIATION_VTAR,MATCH(A251,PT_DIFFERENTIATION_VTAR_ID,0))</f>
        <v>Тариф на горячую воду (горячее водоснабжение)</v>
      </c>
      <c r="G251" s="2453" t="str">
        <f>INDEX(PT_DIFFERENTIATION_NTAR,MATCH(B251,PT_DIFFERENTIATION_NTAR_ID,0))</f>
        <v/>
      </c>
      <c r="H251" s="1866"/>
      <c r="I251" s="1745"/>
      <c r="J251" s="1779"/>
      <c r="K251" s="1784"/>
      <c r="L251" s="1866" t="s">
        <v>305</v>
      </c>
      <c r="M251" s="348"/>
      <c r="N251" s="341"/>
      <c r="O251" s="1631"/>
      <c r="P251" s="1631"/>
      <c r="AH251" s="1638">
        <v>0</v>
      </c>
    </row>
    <row s="1642" customFormat="1" customHeight="1" ht="18.75" hidden="1">
      <c r="A252" s="1786"/>
      <c r="B252" s="1786"/>
      <c r="C252" s="376" t="s">
        <v>1197</v>
      </c>
      <c r="D252" s="2488"/>
      <c r="E252" s="2230"/>
      <c r="F252" s="2409"/>
      <c r="G252" s="2453"/>
      <c r="H252" s="1507"/>
      <c r="I252" s="658" t="s">
        <v>1196</v>
      </c>
      <c r="J252" s="578"/>
      <c r="K252" s="1507"/>
      <c r="L252" s="221"/>
      <c r="M252" s="348"/>
      <c r="N252" s="341"/>
      <c r="O252" s="1631"/>
      <c r="P252" s="1631"/>
      <c r="AH252" s="1638">
        <v>0</v>
      </c>
    </row>
    <row s="1642" customFormat="1" customHeight="1" ht="0.75" hidden="1">
      <c r="A253" s="1786"/>
      <c r="B253" s="1786"/>
      <c r="C253" s="376" t="s">
        <v>1204</v>
      </c>
      <c r="D253" s="2488"/>
      <c r="E253" s="2230"/>
      <c r="F253" s="2409"/>
      <c r="G253" s="407"/>
      <c r="H253" s="1507"/>
      <c r="I253" s="658"/>
      <c r="J253" s="578"/>
      <c r="K253" s="1507"/>
      <c r="L253" s="221"/>
      <c r="M253" s="348"/>
      <c r="N253" s="341"/>
      <c r="O253" s="1631"/>
      <c r="P253" s="1631"/>
      <c r="AH253" s="1638">
        <v>0</v>
      </c>
    </row>
    <row s="1642" customFormat="1" customHeight="1" ht="18.75" hidden="1">
      <c r="A254" s="1786" t="s">
        <v>254</v>
      </c>
      <c r="B254" s="1786" t="s">
        <v>255</v>
      </c>
      <c r="C254" s="376"/>
      <c r="D254" s="2488"/>
      <c r="E254" s="2230"/>
      <c r="F254" s="2409" t="str">
        <f>INDEX(PT_DIFFERENTIATION_VTAR,MATCH(A254,PT_DIFFERENTIATION_VTAR_ID,0))</f>
        <v>Тариф на транспортировку горячей воды</v>
      </c>
      <c r="G254" s="2453" t="str">
        <f>INDEX(PT_DIFFERENTIATION_NTAR,MATCH(B254,PT_DIFFERENTIATION_NTAR_ID,0))</f>
        <v/>
      </c>
      <c r="H254" s="1866"/>
      <c r="I254" s="1745"/>
      <c r="J254" s="1779"/>
      <c r="K254" s="1784"/>
      <c r="L254" s="1866" t="s">
        <v>305</v>
      </c>
      <c r="M254" s="348"/>
      <c r="N254" s="341"/>
      <c r="O254" s="1631"/>
      <c r="P254" s="1631"/>
      <c r="AH254" s="1638">
        <v>0</v>
      </c>
    </row>
    <row s="1642" customFormat="1" customHeight="1" ht="18.75" hidden="1">
      <c r="A255" s="1786"/>
      <c r="B255" s="1786"/>
      <c r="C255" s="376" t="s">
        <v>1197</v>
      </c>
      <c r="D255" s="2488"/>
      <c r="E255" s="2230"/>
      <c r="F255" s="2409"/>
      <c r="G255" s="2453"/>
      <c r="H255" s="1507"/>
      <c r="I255" s="658" t="s">
        <v>1196</v>
      </c>
      <c r="J255" s="578"/>
      <c r="K255" s="1507"/>
      <c r="L255" s="221"/>
      <c r="M255" s="348"/>
      <c r="N255" s="341"/>
      <c r="O255" s="1631"/>
      <c r="P255" s="1631"/>
      <c r="AH255" s="1638">
        <v>0</v>
      </c>
    </row>
    <row s="1642" customFormat="1" customHeight="1" ht="0.75" hidden="1">
      <c r="A256" s="1786"/>
      <c r="B256" s="1786"/>
      <c r="C256" s="376" t="s">
        <v>1204</v>
      </c>
      <c r="D256" s="2488"/>
      <c r="E256" s="2230"/>
      <c r="F256" s="2409"/>
      <c r="G256" s="407"/>
      <c r="H256" s="1507"/>
      <c r="I256" s="658"/>
      <c r="J256" s="578"/>
      <c r="K256" s="1507"/>
      <c r="L256" s="221"/>
      <c r="M256" s="348"/>
      <c r="N256" s="341"/>
      <c r="O256" s="1631"/>
      <c r="P256" s="1631"/>
      <c r="AH256" s="1638">
        <v>0</v>
      </c>
    </row>
    <row s="1642" customFormat="1" customHeight="1" ht="18.75" hidden="1">
      <c r="A257" s="1786" t="s">
        <v>259</v>
      </c>
      <c r="B257" s="1786" t="s">
        <v>260</v>
      </c>
      <c r="C257" s="376"/>
      <c r="D257" s="2488"/>
      <c r="E257" s="2230"/>
      <c r="F257" s="240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6"/>
      <c r="I257" s="1745"/>
      <c r="J257" s="1779"/>
      <c r="K257" s="1784"/>
      <c r="L257" s="1866" t="s">
        <v>305</v>
      </c>
      <c r="M257" s="348"/>
      <c r="N257" s="341"/>
      <c r="O257" s="1631"/>
      <c r="P257" s="1631"/>
      <c r="AH257" s="1638">
        <v>0</v>
      </c>
    </row>
    <row s="1642" customFormat="1" customHeight="1" ht="18.75" hidden="1">
      <c r="A258" s="1786"/>
      <c r="B258" s="1786"/>
      <c r="C258" s="376" t="s">
        <v>1197</v>
      </c>
      <c r="D258" s="2488"/>
      <c r="E258" s="2230"/>
      <c r="F258" s="2409"/>
      <c r="G258" s="2453"/>
      <c r="H258" s="1507"/>
      <c r="I258" s="658" t="s">
        <v>1196</v>
      </c>
      <c r="J258" s="578"/>
      <c r="K258" s="1507"/>
      <c r="L258" s="221"/>
      <c r="M258" s="348"/>
      <c r="N258" s="341"/>
      <c r="O258" s="1631"/>
      <c r="P258" s="1631"/>
      <c r="AH258" s="1638">
        <v>0</v>
      </c>
    </row>
    <row s="1642" customFormat="1" customHeight="1" ht="0.75" hidden="1">
      <c r="A259" s="1786"/>
      <c r="B259" s="1786"/>
      <c r="C259" s="376" t="s">
        <v>1204</v>
      </c>
      <c r="D259" s="2488"/>
      <c r="E259" s="2230"/>
      <c r="F259" s="2409"/>
      <c r="G259" s="407"/>
      <c r="H259" s="1507"/>
      <c r="I259" s="658"/>
      <c r="J259" s="578"/>
      <c r="K259" s="1507"/>
      <c r="L259" s="221"/>
      <c r="M259" s="348"/>
      <c r="N259" s="341"/>
      <c r="O259" s="1631"/>
      <c r="P259" s="1631"/>
      <c r="AH259" s="1638">
        <v>0</v>
      </c>
    </row>
    <row s="1642" customFormat="1" customHeight="1" ht="18.75" hidden="1">
      <c r="A260" s="1786" t="s">
        <v>264</v>
      </c>
      <c r="B260" s="1786" t="s">
        <v>265</v>
      </c>
      <c r="C260" s="376"/>
      <c r="D260" s="2488"/>
      <c r="E260" s="2230"/>
      <c r="F260" s="2409" t="str">
        <f>INDEX(PT_DIFFERENTIATION_VTAR,MATCH(A260,PT_DIFFERENTIATION_VTAR_ID,0))</f>
        <v>Тариф на водоотведение</v>
      </c>
      <c r="G260" s="2453" t="str">
        <f>INDEX(PT_DIFFERENTIATION_NTAR,MATCH(B260,PT_DIFFERENTIATION_NTAR_ID,0))</f>
        <v/>
      </c>
      <c r="H260" s="1866"/>
      <c r="I260" s="1745"/>
      <c r="J260" s="1779"/>
      <c r="K260" s="1784"/>
      <c r="L260" s="1866" t="s">
        <v>305</v>
      </c>
      <c r="M260" s="348"/>
      <c r="N260" s="341"/>
      <c r="O260" s="1631"/>
      <c r="P260" s="1631"/>
      <c r="AH260" s="1638">
        <v>0</v>
      </c>
    </row>
    <row s="1642" customFormat="1" customHeight="1" ht="18.75" hidden="1">
      <c r="A261" s="1786"/>
      <c r="B261" s="1786"/>
      <c r="C261" s="376" t="s">
        <v>1197</v>
      </c>
      <c r="D261" s="2488"/>
      <c r="E261" s="2230"/>
      <c r="F261" s="2409"/>
      <c r="G261" s="2453"/>
      <c r="H261" s="1507"/>
      <c r="I261" s="658" t="s">
        <v>1196</v>
      </c>
      <c r="J261" s="578"/>
      <c r="K261" s="1507"/>
      <c r="L261" s="221"/>
      <c r="M261" s="348"/>
      <c r="N261" s="341"/>
      <c r="O261" s="1631"/>
      <c r="P261" s="1631"/>
      <c r="AH261" s="1638">
        <v>0</v>
      </c>
    </row>
    <row s="1642" customFormat="1" customHeight="1" ht="0.75" hidden="1">
      <c r="A262" s="1786"/>
      <c r="B262" s="1786"/>
      <c r="C262" s="376" t="s">
        <v>1204</v>
      </c>
      <c r="D262" s="2488"/>
      <c r="E262" s="2230"/>
      <c r="F262" s="2409"/>
      <c r="G262" s="407"/>
      <c r="H262" s="1507"/>
      <c r="I262" s="658"/>
      <c r="J262" s="578"/>
      <c r="K262" s="1507"/>
      <c r="L262" s="221"/>
      <c r="M262" s="348"/>
      <c r="N262" s="341"/>
      <c r="O262" s="1631"/>
      <c r="P262" s="1631"/>
      <c r="AH262" s="1638">
        <v>0</v>
      </c>
    </row>
    <row s="1642" customFormat="1" customHeight="1" ht="18.75" hidden="1">
      <c r="A263" s="1786" t="s">
        <v>269</v>
      </c>
      <c r="B263" s="1786" t="s">
        <v>270</v>
      </c>
      <c r="C263" s="376"/>
      <c r="D263" s="2488"/>
      <c r="E263" s="2230"/>
      <c r="F263" s="2409" t="str">
        <f>INDEX(PT_DIFFERENTIATION_VTAR,MATCH(A263,PT_DIFFERENTIATION_VTAR_ID,0))</f>
        <v>Тариф на транспортировку сточных вод</v>
      </c>
      <c r="G263" s="2453" t="str">
        <f>INDEX(PT_DIFFERENTIATION_NTAR,MATCH(B263,PT_DIFFERENTIATION_NTAR_ID,0))</f>
        <v/>
      </c>
      <c r="H263" s="1866"/>
      <c r="I263" s="1745"/>
      <c r="J263" s="1779"/>
      <c r="K263" s="1784"/>
      <c r="L263" s="1866" t="s">
        <v>305</v>
      </c>
      <c r="M263" s="348"/>
      <c r="N263" s="341"/>
      <c r="O263" s="1631"/>
      <c r="P263" s="1631"/>
      <c r="AH263" s="1638">
        <v>0</v>
      </c>
    </row>
    <row s="1642" customFormat="1" customHeight="1" ht="18.75" hidden="1">
      <c r="A264" s="1786"/>
      <c r="B264" s="1786"/>
      <c r="C264" s="376" t="s">
        <v>1197</v>
      </c>
      <c r="D264" s="2488"/>
      <c r="E264" s="2230"/>
      <c r="F264" s="2409"/>
      <c r="G264" s="2453"/>
      <c r="H264" s="1507"/>
      <c r="I264" s="658" t="s">
        <v>1196</v>
      </c>
      <c r="J264" s="578"/>
      <c r="K264" s="1507"/>
      <c r="L264" s="221"/>
      <c r="M264" s="348"/>
      <c r="N264" s="341"/>
      <c r="O264" s="1631"/>
      <c r="P264" s="1631"/>
      <c r="AH264" s="1638">
        <v>0</v>
      </c>
    </row>
    <row s="1642" customFormat="1" customHeight="1" ht="0.75" hidden="1">
      <c r="A265" s="1786"/>
      <c r="B265" s="1786"/>
      <c r="C265" s="376" t="s">
        <v>1204</v>
      </c>
      <c r="D265" s="2488"/>
      <c r="E265" s="2230"/>
      <c r="F265" s="2409"/>
      <c r="G265" s="407"/>
      <c r="H265" s="1507"/>
      <c r="I265" s="658"/>
      <c r="J265" s="578"/>
      <c r="K265" s="1507"/>
      <c r="L265" s="221"/>
      <c r="M265" s="348"/>
      <c r="N265" s="341"/>
      <c r="O265" s="1631"/>
      <c r="P265" s="1631"/>
      <c r="AH265" s="1638">
        <v>0</v>
      </c>
    </row>
    <row s="1642" customFormat="1" customHeight="1" ht="18.75" hidden="1">
      <c r="A266" s="1786" t="s">
        <v>274</v>
      </c>
      <c r="B266" s="1786" t="s">
        <v>275</v>
      </c>
      <c r="C266" s="376"/>
      <c r="D266" s="2488"/>
      <c r="E266" s="2230"/>
      <c r="F266" s="2409"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6"/>
      <c r="I266" s="1745"/>
      <c r="J266" s="1779"/>
      <c r="K266" s="1784"/>
      <c r="L266" s="1866" t="s">
        <v>305</v>
      </c>
      <c r="M266" s="348"/>
      <c r="N266" s="341"/>
      <c r="O266" s="1631"/>
      <c r="P266" s="1631"/>
      <c r="AH266" s="1638">
        <v>0</v>
      </c>
    </row>
    <row s="1642" customFormat="1" customHeight="1" ht="18.75" hidden="1">
      <c r="A267" s="1786"/>
      <c r="B267" s="1786"/>
      <c r="C267" s="376" t="s">
        <v>1197</v>
      </c>
      <c r="D267" s="2488"/>
      <c r="E267" s="2230"/>
      <c r="F267" s="2409"/>
      <c r="G267" s="2453"/>
      <c r="H267" s="1507"/>
      <c r="I267" s="658" t="s">
        <v>1196</v>
      </c>
      <c r="J267" s="578"/>
      <c r="K267" s="1507"/>
      <c r="L267" s="221"/>
      <c r="M267" s="348"/>
      <c r="N267" s="341"/>
      <c r="O267" s="1631"/>
      <c r="P267" s="1631"/>
      <c r="AH267" s="1638">
        <v>0</v>
      </c>
    </row>
    <row s="1642" customFormat="1" customHeight="1" ht="1.05">
      <c r="A268" s="1786"/>
      <c r="B268" s="1786"/>
      <c r="C268" s="376" t="s">
        <v>1204</v>
      </c>
      <c r="D268" s="2488"/>
      <c r="E268" s="2230"/>
      <c r="F268" s="2409"/>
      <c r="G268" s="407"/>
      <c r="H268" s="1507"/>
      <c r="I268" s="658"/>
      <c r="J268" s="578"/>
      <c r="K268" s="1507"/>
      <c r="L268" s="221"/>
      <c r="M268" s="348"/>
      <c r="N268" s="341"/>
      <c r="O268" s="1631"/>
      <c r="P268" s="1631"/>
      <c r="AH268" s="1638">
        <v>1</v>
      </c>
    </row>
    <row customHeight="1" ht="27.299999999999997">
      <c r="A269" s="1786"/>
      <c r="B269" s="1786"/>
      <c r="D269" s="383"/>
      <c r="E269" s="154" t="s">
        <v>92</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6"/>
      <c r="H269" s="2486"/>
      <c r="I269" s="2486"/>
      <c r="J269" s="2486"/>
      <c r="K269" s="2486"/>
      <c r="L269" s="2486"/>
      <c r="M269" s="304"/>
      <c r="N269" s="341"/>
      <c r="AH269" s="381">
        <v>26</v>
      </c>
    </row>
    <row s="1642" customFormat="1" customHeight="1" ht="60.75" hidden="1">
      <c r="A270" s="1786" t="s">
        <v>156</v>
      </c>
      <c r="B270" s="1786" t="s">
        <v>157</v>
      </c>
      <c r="C270" s="376"/>
      <c r="D270" s="2488"/>
      <c r="E270" s="2230"/>
      <c r="F270" s="240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6"/>
      <c r="I270" s="1745"/>
      <c r="J270" s="1779"/>
      <c r="K270" s="1784"/>
      <c r="L270" s="1866" t="s">
        <v>305</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1197</v>
      </c>
      <c r="D271" s="2488"/>
      <c r="E271" s="2230"/>
      <c r="F271" s="2409"/>
      <c r="G271" s="2453"/>
      <c r="H271" s="1507"/>
      <c r="I271" s="658" t="s">
        <v>1196</v>
      </c>
      <c r="J271" s="578"/>
      <c r="K271" s="1507"/>
      <c r="L271" s="221"/>
      <c r="M271" s="2196"/>
      <c r="N271" s="341"/>
      <c r="O271" s="1631"/>
      <c r="P271" s="1631"/>
      <c r="AH271" s="1638">
        <v>0</v>
      </c>
    </row>
    <row s="1642" customFormat="1" customHeight="1" ht="0.75" hidden="1">
      <c r="A272" s="1786"/>
      <c r="B272" s="1786"/>
      <c r="C272" s="376" t="s">
        <v>1204</v>
      </c>
      <c r="D272" s="2488"/>
      <c r="E272" s="2230"/>
      <c r="F272" s="2409"/>
      <c r="G272" s="407"/>
      <c r="H272" s="1507"/>
      <c r="I272" s="658"/>
      <c r="J272" s="578"/>
      <c r="K272" s="1507"/>
      <c r="L272" s="221"/>
      <c r="M272" s="2196"/>
      <c r="N272" s="341"/>
      <c r="O272" s="1631"/>
      <c r="P272" s="1631"/>
      <c r="AH272" s="1638">
        <v>0</v>
      </c>
    </row>
    <row s="1642" customFormat="1" customHeight="1" ht="45" hidden="1">
      <c r="A273" s="1786" t="s">
        <v>161</v>
      </c>
      <c r="B273" s="1786" t="s">
        <v>162</v>
      </c>
      <c r="C273" s="376"/>
      <c r="D273" s="2488"/>
      <c r="E273" s="2230"/>
      <c r="F273" s="2409" t="str">
        <f>INDEX(PT_DIFFERENTIATION_VTAR,MATCH(A273,PT_DIFFERENTIATION_VTAR_ID,0))</f>
        <v/>
      </c>
      <c r="G273" s="2453" t="str">
        <f>INDEX(PT_DIFFERENTIATION_NTAR,MATCH(B273,PT_DIFFERENTIATION_NTAR_ID,0))</f>
        <v/>
      </c>
      <c r="H273" s="1866"/>
      <c r="I273" s="1745"/>
      <c r="J273" s="1779"/>
      <c r="K273" s="1784"/>
      <c r="L273" s="1866" t="s">
        <v>305</v>
      </c>
      <c r="M273" s="2197"/>
      <c r="N273" s="341"/>
      <c r="O273" s="1631"/>
      <c r="P273" s="1631"/>
      <c r="AH273" s="1638">
        <v>0</v>
      </c>
    </row>
    <row s="1642" customFormat="1" customHeight="1" ht="18.75" hidden="1">
      <c r="A274" s="1786"/>
      <c r="B274" s="1786"/>
      <c r="C274" s="376" t="s">
        <v>1197</v>
      </c>
      <c r="D274" s="2488"/>
      <c r="E274" s="2230"/>
      <c r="F274" s="2409"/>
      <c r="G274" s="2453"/>
      <c r="H274" s="1507"/>
      <c r="I274" s="658" t="s">
        <v>1196</v>
      </c>
      <c r="J274" s="578"/>
      <c r="K274" s="1507"/>
      <c r="L274" s="221"/>
      <c r="M274" s="1865"/>
      <c r="N274" s="341"/>
      <c r="O274" s="1631"/>
      <c r="P274" s="1631"/>
      <c r="AH274" s="1638">
        <v>0</v>
      </c>
    </row>
    <row s="1642" customFormat="1" customHeight="1" ht="0.75" hidden="1">
      <c r="A275" s="1786"/>
      <c r="B275" s="1786"/>
      <c r="C275" s="376" t="s">
        <v>1204</v>
      </c>
      <c r="D275" s="2488"/>
      <c r="E275" s="2230"/>
      <c r="F275" s="2409"/>
      <c r="G275" s="407"/>
      <c r="H275" s="1507"/>
      <c r="I275" s="658"/>
      <c r="J275" s="578"/>
      <c r="K275" s="1507"/>
      <c r="L275" s="221"/>
      <c r="M275" s="348"/>
      <c r="N275" s="341"/>
      <c r="O275" s="1631"/>
      <c r="P275" s="1631"/>
      <c r="AH275" s="1638">
        <v>0</v>
      </c>
    </row>
    <row s="1642" customFormat="1" customHeight="1" ht="45" hidden="1">
      <c r="A276" s="1786" t="s">
        <v>168</v>
      </c>
      <c r="B276" s="1786" t="s">
        <v>169</v>
      </c>
      <c r="C276" s="376"/>
      <c r="D276" s="2488"/>
      <c r="E276" s="2230"/>
      <c r="F276" s="240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6"/>
      <c r="I276" s="1745"/>
      <c r="J276" s="1779"/>
      <c r="K276" s="1784"/>
      <c r="L276" s="1866" t="s">
        <v>305</v>
      </c>
      <c r="M276" s="348"/>
      <c r="N276" s="341"/>
      <c r="O276" s="1631"/>
      <c r="P276" s="1631"/>
      <c r="AH276" s="1638">
        <v>0</v>
      </c>
    </row>
    <row s="1642" customFormat="1" customHeight="1" ht="18.75" hidden="1">
      <c r="A277" s="1786"/>
      <c r="B277" s="1786"/>
      <c r="C277" s="376" t="s">
        <v>1197</v>
      </c>
      <c r="D277" s="2488"/>
      <c r="E277" s="2230"/>
      <c r="F277" s="2409"/>
      <c r="G277" s="2453"/>
      <c r="H277" s="1507"/>
      <c r="I277" s="658" t="s">
        <v>1196</v>
      </c>
      <c r="J277" s="578"/>
      <c r="K277" s="1507"/>
      <c r="L277" s="221"/>
      <c r="M277" s="348"/>
      <c r="N277" s="341"/>
      <c r="O277" s="1631"/>
      <c r="P277" s="1631"/>
      <c r="AH277" s="1638">
        <v>0</v>
      </c>
    </row>
    <row s="1642" customFormat="1" customHeight="1" ht="0.75" hidden="1">
      <c r="A278" s="1786"/>
      <c r="B278" s="1786"/>
      <c r="C278" s="376" t="s">
        <v>1204</v>
      </c>
      <c r="D278" s="2488"/>
      <c r="E278" s="2230"/>
      <c r="F278" s="2409"/>
      <c r="G278" s="407"/>
      <c r="H278" s="1507"/>
      <c r="I278" s="658"/>
      <c r="J278" s="578"/>
      <c r="K278" s="1507"/>
      <c r="L278" s="221"/>
      <c r="M278" s="348"/>
      <c r="N278" s="341"/>
      <c r="O278" s="1631"/>
      <c r="P278" s="1631"/>
      <c r="AH278" s="1638">
        <v>0</v>
      </c>
    </row>
    <row s="1642" customFormat="1" customHeight="1" ht="45" hidden="1">
      <c r="A279" s="1786" t="s">
        <v>174</v>
      </c>
      <c r="B279" s="1786" t="s">
        <v>175</v>
      </c>
      <c r="C279" s="376"/>
      <c r="D279" s="2488"/>
      <c r="E279" s="2230"/>
      <c r="F279" s="240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6"/>
      <c r="I279" s="1745"/>
      <c r="J279" s="1779"/>
      <c r="K279" s="1784"/>
      <c r="L279" s="1866" t="s">
        <v>305</v>
      </c>
      <c r="M279" s="348"/>
      <c r="N279" s="341"/>
      <c r="O279" s="1631"/>
      <c r="P279" s="1631"/>
      <c r="AH279" s="1638">
        <v>0</v>
      </c>
    </row>
    <row s="1642" customFormat="1" customHeight="1" ht="18.75" hidden="1">
      <c r="A280" s="1786"/>
      <c r="B280" s="1786"/>
      <c r="C280" s="376" t="s">
        <v>1197</v>
      </c>
      <c r="D280" s="2488"/>
      <c r="E280" s="2230"/>
      <c r="F280" s="2409"/>
      <c r="G280" s="2453"/>
      <c r="H280" s="1507"/>
      <c r="I280" s="658" t="s">
        <v>1196</v>
      </c>
      <c r="J280" s="578"/>
      <c r="K280" s="1507"/>
      <c r="L280" s="221"/>
      <c r="M280" s="348"/>
      <c r="N280" s="341"/>
      <c r="O280" s="1631"/>
      <c r="P280" s="1631"/>
      <c r="AH280" s="1638">
        <v>0</v>
      </c>
    </row>
    <row s="1642" customFormat="1" customHeight="1" ht="0.75" hidden="1">
      <c r="A281" s="1786"/>
      <c r="B281" s="1786"/>
      <c r="C281" s="376" t="s">
        <v>1204</v>
      </c>
      <c r="D281" s="2488"/>
      <c r="E281" s="2230"/>
      <c r="F281" s="2409"/>
      <c r="G281" s="407"/>
      <c r="H281" s="1507"/>
      <c r="I281" s="658"/>
      <c r="J281" s="578"/>
      <c r="K281" s="1507"/>
      <c r="L281" s="221"/>
      <c r="M281" s="348"/>
      <c r="N281" s="341"/>
      <c r="O281" s="1631"/>
      <c r="P281" s="1631"/>
      <c r="AH281" s="1638">
        <v>0</v>
      </c>
    </row>
    <row s="1642" customFormat="1" customHeight="1" ht="18.75" hidden="1">
      <c r="A282" s="1786" t="s">
        <v>180</v>
      </c>
      <c r="B282" s="1786" t="s">
        <v>181</v>
      </c>
      <c r="C282" s="376"/>
      <c r="D282" s="2488"/>
      <c r="E282" s="2230"/>
      <c r="F282" s="2409" t="str">
        <f>INDEX(PT_DIFFERENTIATION_VTAR,MATCH(A282,PT_DIFFERENTIATION_VTAR_ID,0))</f>
        <v>Тарифы на услуги по передаче тепловой энергии</v>
      </c>
      <c r="G282" s="2453" t="str">
        <f>INDEX(PT_DIFFERENTIATION_NTAR,MATCH(B282,PT_DIFFERENTIATION_NTAR_ID,0))</f>
        <v/>
      </c>
      <c r="H282" s="1866"/>
      <c r="I282" s="1745"/>
      <c r="J282" s="1779"/>
      <c r="K282" s="1784"/>
      <c r="L282" s="1866" t="s">
        <v>305</v>
      </c>
      <c r="M282" s="348"/>
      <c r="N282" s="341"/>
      <c r="O282" s="1631"/>
      <c r="P282" s="1631"/>
      <c r="AH282" s="1638">
        <v>0</v>
      </c>
    </row>
    <row s="1642" customFormat="1" customHeight="1" ht="18.75" hidden="1">
      <c r="A283" s="1786"/>
      <c r="B283" s="1786"/>
      <c r="C283" s="376" t="s">
        <v>1197</v>
      </c>
      <c r="D283" s="2488"/>
      <c r="E283" s="2230"/>
      <c r="F283" s="2409"/>
      <c r="G283" s="2453"/>
      <c r="H283" s="1507"/>
      <c r="I283" s="658" t="s">
        <v>1196</v>
      </c>
      <c r="J283" s="578"/>
      <c r="K283" s="1507"/>
      <c r="L283" s="221"/>
      <c r="M283" s="348"/>
      <c r="N283" s="341"/>
      <c r="O283" s="1631"/>
      <c r="P283" s="1631"/>
      <c r="AH283" s="1638">
        <v>0</v>
      </c>
    </row>
    <row s="1642" customFormat="1" customHeight="1" ht="0.75" hidden="1">
      <c r="A284" s="1786"/>
      <c r="B284" s="1786"/>
      <c r="C284" s="376" t="s">
        <v>1204</v>
      </c>
      <c r="D284" s="2488"/>
      <c r="E284" s="2230"/>
      <c r="F284" s="2409"/>
      <c r="G284" s="407"/>
      <c r="H284" s="1507"/>
      <c r="I284" s="658"/>
      <c r="J284" s="578"/>
      <c r="K284" s="1507"/>
      <c r="L284" s="221"/>
      <c r="M284" s="348"/>
      <c r="N284" s="341"/>
      <c r="O284" s="1631"/>
      <c r="P284" s="1631"/>
      <c r="AH284" s="1638">
        <v>0</v>
      </c>
    </row>
    <row s="1642" customFormat="1" customHeight="1" ht="18.75" hidden="1">
      <c r="A285" s="1786" t="s">
        <v>186</v>
      </c>
      <c r="B285" s="1786" t="s">
        <v>187</v>
      </c>
      <c r="C285" s="376"/>
      <c r="D285" s="2488"/>
      <c r="E285" s="2230"/>
      <c r="F285" s="2409" t="str">
        <f>INDEX(PT_DIFFERENTIATION_VTAR,MATCH(A285,PT_DIFFERENTIATION_VTAR_ID,0))</f>
        <v>Тарифы на услуги по передаче теплоносителя</v>
      </c>
      <c r="G285" s="2453" t="str">
        <f>INDEX(PT_DIFFERENTIATION_NTAR,MATCH(B285,PT_DIFFERENTIATION_NTAR_ID,0))</f>
        <v/>
      </c>
      <c r="H285" s="1866"/>
      <c r="I285" s="1745"/>
      <c r="J285" s="1779"/>
      <c r="K285" s="1784"/>
      <c r="L285" s="1866" t="s">
        <v>305</v>
      </c>
      <c r="M285" s="348"/>
      <c r="N285" s="341"/>
      <c r="O285" s="1631"/>
      <c r="P285" s="1631"/>
      <c r="AH285" s="1638">
        <v>0</v>
      </c>
    </row>
    <row s="1642" customFormat="1" customHeight="1" ht="18.75" hidden="1">
      <c r="A286" s="1786"/>
      <c r="B286" s="1786"/>
      <c r="C286" s="376" t="s">
        <v>1197</v>
      </c>
      <c r="D286" s="2488"/>
      <c r="E286" s="2230"/>
      <c r="F286" s="2409"/>
      <c r="G286" s="2453"/>
      <c r="H286" s="1507"/>
      <c r="I286" s="658" t="s">
        <v>1196</v>
      </c>
      <c r="J286" s="578"/>
      <c r="K286" s="1507"/>
      <c r="L286" s="221"/>
      <c r="M286" s="348"/>
      <c r="N286" s="341"/>
      <c r="O286" s="1631"/>
      <c r="P286" s="1631"/>
      <c r="AH286" s="1638">
        <v>0</v>
      </c>
    </row>
    <row s="1642" customFormat="1" customHeight="1" ht="0.75" hidden="1">
      <c r="A287" s="1786"/>
      <c r="B287" s="1786"/>
      <c r="C287" s="376" t="s">
        <v>1204</v>
      </c>
      <c r="D287" s="2488"/>
      <c r="E287" s="2230"/>
      <c r="F287" s="2409"/>
      <c r="G287" s="407"/>
      <c r="H287" s="1507"/>
      <c r="I287" s="658"/>
      <c r="J287" s="578"/>
      <c r="K287" s="1507"/>
      <c r="L287" s="221"/>
      <c r="M287" s="348"/>
      <c r="N287" s="341"/>
      <c r="O287" s="1631"/>
      <c r="P287" s="1631"/>
      <c r="AH287" s="1638">
        <v>0</v>
      </c>
    </row>
    <row s="1642" customFormat="1" customHeight="1" ht="18.75" hidden="1">
      <c r="A288" s="1786" t="s">
        <v>192</v>
      </c>
      <c r="B288" s="1786" t="s">
        <v>193</v>
      </c>
      <c r="C288" s="376"/>
      <c r="D288" s="2488"/>
      <c r="E288" s="2230"/>
      <c r="F288" s="240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6"/>
      <c r="I288" s="1745"/>
      <c r="J288" s="1779"/>
      <c r="K288" s="1784"/>
      <c r="L288" s="1866" t="s">
        <v>305</v>
      </c>
      <c r="M288" s="348"/>
      <c r="N288" s="341"/>
      <c r="O288" s="1631"/>
      <c r="P288" s="1631"/>
      <c r="AH288" s="1638">
        <v>0</v>
      </c>
    </row>
    <row s="1642" customFormat="1" customHeight="1" ht="18.75" hidden="1">
      <c r="A289" s="1786"/>
      <c r="B289" s="1786"/>
      <c r="C289" s="376" t="s">
        <v>1197</v>
      </c>
      <c r="D289" s="2488"/>
      <c r="E289" s="2230"/>
      <c r="F289" s="2409"/>
      <c r="G289" s="2453"/>
      <c r="H289" s="1507"/>
      <c r="I289" s="658" t="s">
        <v>1196</v>
      </c>
      <c r="J289" s="578"/>
      <c r="K289" s="1507"/>
      <c r="L289" s="221"/>
      <c r="M289" s="348"/>
      <c r="N289" s="341"/>
      <c r="O289" s="1631"/>
      <c r="P289" s="1631"/>
      <c r="AH289" s="1638">
        <v>0</v>
      </c>
    </row>
    <row s="1642" customFormat="1" customHeight="1" ht="0.75" hidden="1">
      <c r="A290" s="1786"/>
      <c r="B290" s="1786"/>
      <c r="C290" s="376" t="s">
        <v>1204</v>
      </c>
      <c r="D290" s="2488"/>
      <c r="E290" s="2230"/>
      <c r="F290" s="2409"/>
      <c r="G290" s="407"/>
      <c r="H290" s="1507"/>
      <c r="I290" s="658"/>
      <c r="J290" s="578"/>
      <c r="K290" s="1507"/>
      <c r="L290" s="221"/>
      <c r="M290" s="348"/>
      <c r="N290" s="341"/>
      <c r="O290" s="1631"/>
      <c r="P290" s="1631"/>
      <c r="AH290" s="1638">
        <v>0</v>
      </c>
    </row>
    <row s="1642" customFormat="1" customHeight="1" ht="18.75" hidden="1">
      <c r="A291" s="1786" t="s">
        <v>198</v>
      </c>
      <c r="B291" s="1786" t="s">
        <v>199</v>
      </c>
      <c r="C291" s="376"/>
      <c r="D291" s="2488"/>
      <c r="E291" s="2230"/>
      <c r="F291" s="2409"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6"/>
      <c r="I291" s="1745"/>
      <c r="J291" s="1779"/>
      <c r="K291" s="1784"/>
      <c r="L291" s="1866" t="s">
        <v>305</v>
      </c>
      <c r="M291" s="348"/>
      <c r="N291" s="341"/>
      <c r="O291" s="1631"/>
      <c r="P291" s="1631"/>
      <c r="AH291" s="1638">
        <v>0</v>
      </c>
    </row>
    <row s="1642" customFormat="1" customHeight="1" ht="18.75" hidden="1">
      <c r="A292" s="1786"/>
      <c r="B292" s="1786"/>
      <c r="C292" s="376" t="s">
        <v>1197</v>
      </c>
      <c r="D292" s="2488"/>
      <c r="E292" s="2230"/>
      <c r="F292" s="2409"/>
      <c r="G292" s="2453"/>
      <c r="H292" s="1507"/>
      <c r="I292" s="658" t="s">
        <v>1196</v>
      </c>
      <c r="J292" s="578"/>
      <c r="K292" s="1507"/>
      <c r="L292" s="221"/>
      <c r="M292" s="348"/>
      <c r="N292" s="341"/>
      <c r="O292" s="1631"/>
      <c r="P292" s="1631"/>
      <c r="AH292" s="1638">
        <v>0</v>
      </c>
    </row>
    <row s="1642" customFormat="1" customHeight="1" ht="0.75" hidden="1">
      <c r="A293" s="1786"/>
      <c r="B293" s="1786"/>
      <c r="C293" s="376" t="s">
        <v>1204</v>
      </c>
      <c r="D293" s="2488"/>
      <c r="E293" s="2230"/>
      <c r="F293" s="2409"/>
      <c r="G293" s="407"/>
      <c r="H293" s="1507"/>
      <c r="I293" s="658"/>
      <c r="J293" s="578"/>
      <c r="K293" s="1507"/>
      <c r="L293" s="221"/>
      <c r="M293" s="348"/>
      <c r="N293" s="341"/>
      <c r="O293" s="1631"/>
      <c r="P293" s="1631"/>
      <c r="AH293" s="1638">
        <v>0</v>
      </c>
    </row>
    <row s="1642" customFormat="1" customHeight="1" ht="18.75" hidden="1">
      <c r="A294" s="1786" t="s">
        <v>204</v>
      </c>
      <c r="B294" s="1786" t="s">
        <v>205</v>
      </c>
      <c r="C294" s="376"/>
      <c r="D294" s="2488"/>
      <c r="E294" s="2230"/>
      <c r="F294" s="2409"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93"/>
      <c r="I294" s="1745"/>
      <c r="J294" s="1779"/>
      <c r="K294" s="1784"/>
      <c r="L294" s="1993" t="s">
        <v>305</v>
      </c>
      <c r="M294" s="348"/>
      <c r="N294" s="341"/>
      <c r="O294" s="1631"/>
      <c r="P294" s="1631"/>
      <c r="AH294" s="1638">
        <v>0</v>
      </c>
    </row>
    <row s="1642" customFormat="1" customHeight="1" ht="18.75" hidden="1">
      <c r="A295" s="1786"/>
      <c r="B295" s="1786"/>
      <c r="C295" s="376" t="s">
        <v>1197</v>
      </c>
      <c r="D295" s="2488"/>
      <c r="E295" s="2230"/>
      <c r="F295" s="2409"/>
      <c r="G295" s="2453"/>
      <c r="H295" s="1507"/>
      <c r="I295" s="658" t="s">
        <v>1196</v>
      </c>
      <c r="J295" s="578"/>
      <c r="K295" s="1507"/>
      <c r="L295" s="221"/>
      <c r="M295" s="348"/>
      <c r="N295" s="341"/>
      <c r="O295" s="1631"/>
      <c r="P295" s="1631"/>
      <c r="AH295" s="1638">
        <v>0</v>
      </c>
    </row>
    <row s="1642" customFormat="1" customHeight="1" ht="0.75" hidden="1">
      <c r="A296" s="1786"/>
      <c r="B296" s="1786"/>
      <c r="C296" s="376" t="s">
        <v>1204</v>
      </c>
      <c r="D296" s="2488"/>
      <c r="E296" s="2230"/>
      <c r="F296" s="2409"/>
      <c r="G296" s="407"/>
      <c r="H296" s="1507"/>
      <c r="I296" s="658"/>
      <c r="J296" s="578"/>
      <c r="K296" s="1507"/>
      <c r="L296" s="221"/>
      <c r="M296" s="348"/>
      <c r="N296" s="341"/>
      <c r="O296" s="1631"/>
      <c r="P296" s="1631"/>
      <c r="AH296" s="1638">
        <v>0</v>
      </c>
    </row>
    <row s="1642" customFormat="1" customHeight="1" ht="18.75" hidden="1">
      <c r="A297" s="1786" t="s">
        <v>224</v>
      </c>
      <c r="B297" s="1786" t="s">
        <v>225</v>
      </c>
      <c r="C297" s="376"/>
      <c r="D297" s="2488"/>
      <c r="E297" s="2230"/>
      <c r="F297" s="2409" t="str">
        <f>INDEX(PT_DIFFERENTIATION_VTAR,MATCH(A297,PT_DIFFERENTIATION_VTAR_ID,0))</f>
        <v>Тариф на питьевую воду (питьевое водоснабжение)</v>
      </c>
      <c r="G297" s="2453" t="str">
        <f>INDEX(PT_DIFFERENTIATION_NTAR,MATCH(B297,PT_DIFFERENTIATION_NTAR_ID,0))</f>
        <v/>
      </c>
      <c r="H297" s="1866"/>
      <c r="I297" s="1745"/>
      <c r="J297" s="1779"/>
      <c r="K297" s="1784"/>
      <c r="L297" s="1866" t="s">
        <v>305</v>
      </c>
      <c r="M297" s="348"/>
      <c r="N297" s="341"/>
      <c r="O297" s="1631"/>
      <c r="P297" s="1631"/>
      <c r="AH297" s="1638">
        <v>0</v>
      </c>
    </row>
    <row s="1642" customFormat="1" customHeight="1" ht="18.75" hidden="1">
      <c r="A298" s="1786"/>
      <c r="B298" s="1786"/>
      <c r="C298" s="376" t="s">
        <v>1197</v>
      </c>
      <c r="D298" s="2488"/>
      <c r="E298" s="2230"/>
      <c r="F298" s="2409"/>
      <c r="G298" s="2453"/>
      <c r="H298" s="1507"/>
      <c r="I298" s="658" t="s">
        <v>1196</v>
      </c>
      <c r="J298" s="578"/>
      <c r="K298" s="1507"/>
      <c r="L298" s="221"/>
      <c r="M298" s="348"/>
      <c r="N298" s="341"/>
      <c r="O298" s="1631"/>
      <c r="P298" s="1631"/>
      <c r="AH298" s="1638">
        <v>0</v>
      </c>
    </row>
    <row s="1642" customFormat="1" customHeight="1" ht="0.75" hidden="1">
      <c r="A299" s="1786"/>
      <c r="B299" s="1786"/>
      <c r="C299" s="376" t="s">
        <v>1204</v>
      </c>
      <c r="D299" s="2488"/>
      <c r="E299" s="2230"/>
      <c r="F299" s="2409"/>
      <c r="G299" s="407"/>
      <c r="H299" s="1507"/>
      <c r="I299" s="658"/>
      <c r="J299" s="578"/>
      <c r="K299" s="1507"/>
      <c r="L299" s="221"/>
      <c r="M299" s="348"/>
      <c r="N299" s="341"/>
      <c r="O299" s="1631"/>
      <c r="P299" s="1631"/>
      <c r="AH299" s="1638">
        <v>0</v>
      </c>
    </row>
    <row s="1642" customFormat="1" customHeight="1" ht="18.75" hidden="1">
      <c r="A300" s="1786" t="s">
        <v>229</v>
      </c>
      <c r="B300" s="1786" t="s">
        <v>230</v>
      </c>
      <c r="C300" s="376"/>
      <c r="D300" s="2488"/>
      <c r="E300" s="2230"/>
      <c r="F300" s="2409" t="str">
        <f>INDEX(PT_DIFFERENTIATION_VTAR,MATCH(A300,PT_DIFFERENTIATION_VTAR_ID,0))</f>
        <v>Тариф на техническую воду</v>
      </c>
      <c r="G300" s="2453" t="str">
        <f>INDEX(PT_DIFFERENTIATION_NTAR,MATCH(B300,PT_DIFFERENTIATION_NTAR_ID,0))</f>
        <v/>
      </c>
      <c r="H300" s="1866"/>
      <c r="I300" s="1745"/>
      <c r="J300" s="1779"/>
      <c r="K300" s="1784"/>
      <c r="L300" s="1866" t="s">
        <v>305</v>
      </c>
      <c r="M300" s="348"/>
      <c r="N300" s="341"/>
      <c r="O300" s="1631"/>
      <c r="P300" s="1631"/>
      <c r="AH300" s="1638">
        <v>0</v>
      </c>
    </row>
    <row s="1642" customFormat="1" customHeight="1" ht="18.75" hidden="1">
      <c r="A301" s="1786"/>
      <c r="B301" s="1786"/>
      <c r="C301" s="376" t="s">
        <v>1197</v>
      </c>
      <c r="D301" s="2488"/>
      <c r="E301" s="2230"/>
      <c r="F301" s="2409"/>
      <c r="G301" s="2453"/>
      <c r="H301" s="1507"/>
      <c r="I301" s="658" t="s">
        <v>1196</v>
      </c>
      <c r="J301" s="578"/>
      <c r="K301" s="1507"/>
      <c r="L301" s="221"/>
      <c r="M301" s="348"/>
      <c r="N301" s="341"/>
      <c r="O301" s="1631"/>
      <c r="P301" s="1631"/>
      <c r="AH301" s="1638">
        <v>0</v>
      </c>
    </row>
    <row s="1642" customFormat="1" customHeight="1" ht="0.75" hidden="1">
      <c r="A302" s="1786"/>
      <c r="B302" s="1786"/>
      <c r="C302" s="376" t="s">
        <v>1204</v>
      </c>
      <c r="D302" s="2488"/>
      <c r="E302" s="2230"/>
      <c r="F302" s="2409"/>
      <c r="G302" s="407"/>
      <c r="H302" s="1507"/>
      <c r="I302" s="658"/>
      <c r="J302" s="578"/>
      <c r="K302" s="1507"/>
      <c r="L302" s="221"/>
      <c r="M302" s="348"/>
      <c r="N302" s="341"/>
      <c r="O302" s="1631"/>
      <c r="P302" s="1631"/>
      <c r="AH302" s="1638">
        <v>0</v>
      </c>
    </row>
    <row s="1642" customFormat="1" customHeight="1" ht="18.75" hidden="1">
      <c r="A303" s="1786" t="s">
        <v>234</v>
      </c>
      <c r="B303" s="1786" t="s">
        <v>235</v>
      </c>
      <c r="C303" s="376"/>
      <c r="D303" s="2488"/>
      <c r="E303" s="2230"/>
      <c r="F303" s="2409" t="str">
        <f>INDEX(PT_DIFFERENTIATION_VTAR,MATCH(A303,PT_DIFFERENTIATION_VTAR_ID,0))</f>
        <v>Тариф на транспортировку воды</v>
      </c>
      <c r="G303" s="2453" t="str">
        <f>INDEX(PT_DIFFERENTIATION_NTAR,MATCH(B303,PT_DIFFERENTIATION_NTAR_ID,0))</f>
        <v/>
      </c>
      <c r="H303" s="1866"/>
      <c r="I303" s="1745"/>
      <c r="J303" s="1779"/>
      <c r="K303" s="1784"/>
      <c r="L303" s="1866" t="s">
        <v>305</v>
      </c>
      <c r="M303" s="348"/>
      <c r="N303" s="341"/>
      <c r="O303" s="1631"/>
      <c r="P303" s="1631"/>
      <c r="AH303" s="1638">
        <v>0</v>
      </c>
    </row>
    <row s="1642" customFormat="1" customHeight="1" ht="18.75" hidden="1">
      <c r="A304" s="1786"/>
      <c r="B304" s="1786"/>
      <c r="C304" s="376" t="s">
        <v>1197</v>
      </c>
      <c r="D304" s="2488"/>
      <c r="E304" s="2230"/>
      <c r="F304" s="2409"/>
      <c r="G304" s="2453"/>
      <c r="H304" s="1507"/>
      <c r="I304" s="658" t="s">
        <v>1196</v>
      </c>
      <c r="J304" s="578"/>
      <c r="K304" s="1507"/>
      <c r="L304" s="221"/>
      <c r="M304" s="348"/>
      <c r="N304" s="341"/>
      <c r="O304" s="1631"/>
      <c r="P304" s="1631"/>
      <c r="AH304" s="1638">
        <v>0</v>
      </c>
    </row>
    <row s="1642" customFormat="1" customHeight="1" ht="0.75" hidden="1">
      <c r="A305" s="1786"/>
      <c r="B305" s="1786"/>
      <c r="C305" s="376" t="s">
        <v>1204</v>
      </c>
      <c r="D305" s="2488"/>
      <c r="E305" s="2230"/>
      <c r="F305" s="2409"/>
      <c r="G305" s="407"/>
      <c r="H305" s="1507"/>
      <c r="I305" s="658"/>
      <c r="J305" s="578"/>
      <c r="K305" s="1507"/>
      <c r="L305" s="221"/>
      <c r="M305" s="348"/>
      <c r="N305" s="341"/>
      <c r="O305" s="1631"/>
      <c r="P305" s="1631"/>
      <c r="AH305" s="1638">
        <v>0</v>
      </c>
    </row>
    <row s="1642" customFormat="1" customHeight="1" ht="18.75" hidden="1">
      <c r="A306" s="1786" t="s">
        <v>239</v>
      </c>
      <c r="B306" s="1786" t="s">
        <v>240</v>
      </c>
      <c r="C306" s="376"/>
      <c r="D306" s="2488"/>
      <c r="E306" s="2230"/>
      <c r="F306" s="2409" t="str">
        <f>INDEX(PT_DIFFERENTIATION_VTAR,MATCH(A306,PT_DIFFERENTIATION_VTAR_ID,0))</f>
        <v>Тариф на подвоз воды</v>
      </c>
      <c r="G306" s="2453" t="str">
        <f>INDEX(PT_DIFFERENTIATION_NTAR,MATCH(B306,PT_DIFFERENTIATION_NTAR_ID,0))</f>
        <v/>
      </c>
      <c r="H306" s="1866"/>
      <c r="I306" s="1745"/>
      <c r="J306" s="1779"/>
      <c r="K306" s="1784"/>
      <c r="L306" s="1866" t="s">
        <v>305</v>
      </c>
      <c r="M306" s="348"/>
      <c r="N306" s="341"/>
      <c r="O306" s="1631"/>
      <c r="P306" s="1631"/>
      <c r="AH306" s="1638">
        <v>0</v>
      </c>
    </row>
    <row s="1642" customFormat="1" customHeight="1" ht="18.75" hidden="1">
      <c r="A307" s="1786"/>
      <c r="B307" s="1786"/>
      <c r="C307" s="376" t="s">
        <v>1197</v>
      </c>
      <c r="D307" s="2488"/>
      <c r="E307" s="2230"/>
      <c r="F307" s="2409"/>
      <c r="G307" s="2453"/>
      <c r="H307" s="1507"/>
      <c r="I307" s="658" t="s">
        <v>1196</v>
      </c>
      <c r="J307" s="578"/>
      <c r="K307" s="1507"/>
      <c r="L307" s="221"/>
      <c r="M307" s="348"/>
      <c r="N307" s="341"/>
      <c r="O307" s="1631"/>
      <c r="P307" s="1631"/>
      <c r="AH307" s="1638">
        <v>0</v>
      </c>
    </row>
    <row s="1642" customFormat="1" customHeight="1" ht="0.75" hidden="1">
      <c r="A308" s="1786"/>
      <c r="B308" s="1786"/>
      <c r="C308" s="376" t="s">
        <v>1204</v>
      </c>
      <c r="D308" s="2488"/>
      <c r="E308" s="2230"/>
      <c r="F308" s="2409"/>
      <c r="G308" s="407"/>
      <c r="H308" s="1507"/>
      <c r="I308" s="658"/>
      <c r="J308" s="578"/>
      <c r="K308" s="1507"/>
      <c r="L308" s="221"/>
      <c r="M308" s="348"/>
      <c r="N308" s="341"/>
      <c r="O308" s="1631"/>
      <c r="P308" s="1631"/>
      <c r="AH308" s="1638">
        <v>0</v>
      </c>
    </row>
    <row s="1642" customFormat="1" customHeight="1" ht="18.75" hidden="1">
      <c r="A309" s="1786" t="s">
        <v>244</v>
      </c>
      <c r="B309" s="1786" t="s">
        <v>245</v>
      </c>
      <c r="C309" s="376"/>
      <c r="D309" s="2488"/>
      <c r="E309" s="2230"/>
      <c r="F309" s="240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6"/>
      <c r="I309" s="1745"/>
      <c r="J309" s="1779"/>
      <c r="K309" s="1784"/>
      <c r="L309" s="1866" t="s">
        <v>305</v>
      </c>
      <c r="M309" s="348"/>
      <c r="N309" s="341"/>
      <c r="O309" s="1631"/>
      <c r="P309" s="1631"/>
      <c r="AH309" s="1638">
        <v>0</v>
      </c>
    </row>
    <row s="1642" customFormat="1" customHeight="1" ht="18.75" hidden="1">
      <c r="A310" s="1786"/>
      <c r="B310" s="1786"/>
      <c r="C310" s="376" t="s">
        <v>1197</v>
      </c>
      <c r="D310" s="2488"/>
      <c r="E310" s="2230"/>
      <c r="F310" s="2409"/>
      <c r="G310" s="2453"/>
      <c r="H310" s="1507"/>
      <c r="I310" s="658" t="s">
        <v>1196</v>
      </c>
      <c r="J310" s="578"/>
      <c r="K310" s="1507"/>
      <c r="L310" s="221"/>
      <c r="M310" s="348"/>
      <c r="N310" s="341"/>
      <c r="O310" s="1631"/>
      <c r="P310" s="1631"/>
      <c r="AH310" s="1638">
        <v>0</v>
      </c>
    </row>
    <row s="1642" customFormat="1" customHeight="1" ht="0.75" hidden="1">
      <c r="A311" s="1786"/>
      <c r="B311" s="1786"/>
      <c r="C311" s="376" t="s">
        <v>1204</v>
      </c>
      <c r="D311" s="2488"/>
      <c r="E311" s="2230"/>
      <c r="F311" s="2409"/>
      <c r="G311" s="407"/>
      <c r="H311" s="1507"/>
      <c r="I311" s="658"/>
      <c r="J311" s="578"/>
      <c r="K311" s="1507"/>
      <c r="L311" s="221"/>
      <c r="M311" s="348"/>
      <c r="N311" s="341"/>
      <c r="O311" s="1631"/>
      <c r="P311" s="1631"/>
      <c r="AH311" s="1638">
        <v>0</v>
      </c>
    </row>
    <row s="1642" customFormat="1" customHeight="1" ht="18.75" hidden="1">
      <c r="A312" s="1786" t="s">
        <v>249</v>
      </c>
      <c r="B312" s="1786" t="s">
        <v>250</v>
      </c>
      <c r="C312" s="376"/>
      <c r="D312" s="2488"/>
      <c r="E312" s="2230"/>
      <c r="F312" s="2409" t="str">
        <f>INDEX(PT_DIFFERENTIATION_VTAR,MATCH(A312,PT_DIFFERENTIATION_VTAR_ID,0))</f>
        <v>Тариф на горячую воду (горячее водоснабжение)</v>
      </c>
      <c r="G312" s="2453" t="str">
        <f>INDEX(PT_DIFFERENTIATION_NTAR,MATCH(B312,PT_DIFFERENTIATION_NTAR_ID,0))</f>
        <v/>
      </c>
      <c r="H312" s="1866"/>
      <c r="I312" s="1745"/>
      <c r="J312" s="1779"/>
      <c r="K312" s="1784"/>
      <c r="L312" s="1866" t="s">
        <v>305</v>
      </c>
      <c r="M312" s="348"/>
      <c r="N312" s="341"/>
      <c r="O312" s="1631"/>
      <c r="P312" s="1631"/>
      <c r="AH312" s="1638">
        <v>0</v>
      </c>
    </row>
    <row s="1642" customFormat="1" customHeight="1" ht="18.75" hidden="1">
      <c r="A313" s="1786"/>
      <c r="B313" s="1786"/>
      <c r="C313" s="376" t="s">
        <v>1197</v>
      </c>
      <c r="D313" s="2488"/>
      <c r="E313" s="2230"/>
      <c r="F313" s="2409"/>
      <c r="G313" s="2453"/>
      <c r="H313" s="1507"/>
      <c r="I313" s="658" t="s">
        <v>1196</v>
      </c>
      <c r="J313" s="578"/>
      <c r="K313" s="1507"/>
      <c r="L313" s="221"/>
      <c r="M313" s="348"/>
      <c r="N313" s="341"/>
      <c r="O313" s="1631"/>
      <c r="P313" s="1631"/>
      <c r="AH313" s="1638">
        <v>0</v>
      </c>
    </row>
    <row s="1642" customFormat="1" customHeight="1" ht="0.75" hidden="1">
      <c r="A314" s="1786"/>
      <c r="B314" s="1786"/>
      <c r="C314" s="376" t="s">
        <v>1204</v>
      </c>
      <c r="D314" s="2488"/>
      <c r="E314" s="2230"/>
      <c r="F314" s="2409"/>
      <c r="G314" s="407"/>
      <c r="H314" s="1507"/>
      <c r="I314" s="658"/>
      <c r="J314" s="578"/>
      <c r="K314" s="1507"/>
      <c r="L314" s="221"/>
      <c r="M314" s="348"/>
      <c r="N314" s="341"/>
      <c r="O314" s="1631"/>
      <c r="P314" s="1631"/>
      <c r="AH314" s="1638">
        <v>0</v>
      </c>
    </row>
    <row s="1642" customFormat="1" customHeight="1" ht="18.75" hidden="1">
      <c r="A315" s="1786" t="s">
        <v>254</v>
      </c>
      <c r="B315" s="1786" t="s">
        <v>255</v>
      </c>
      <c r="C315" s="376"/>
      <c r="D315" s="2488"/>
      <c r="E315" s="2230"/>
      <c r="F315" s="2409" t="str">
        <f>INDEX(PT_DIFFERENTIATION_VTAR,MATCH(A315,PT_DIFFERENTIATION_VTAR_ID,0))</f>
        <v>Тариф на транспортировку горячей воды</v>
      </c>
      <c r="G315" s="2453" t="str">
        <f>INDEX(PT_DIFFERENTIATION_NTAR,MATCH(B315,PT_DIFFERENTIATION_NTAR_ID,0))</f>
        <v/>
      </c>
      <c r="H315" s="1866"/>
      <c r="I315" s="1745"/>
      <c r="J315" s="1779"/>
      <c r="K315" s="1784"/>
      <c r="L315" s="1866" t="s">
        <v>305</v>
      </c>
      <c r="M315" s="348"/>
      <c r="N315" s="341"/>
      <c r="O315" s="1631"/>
      <c r="P315" s="1631"/>
      <c r="AH315" s="1638">
        <v>0</v>
      </c>
    </row>
    <row s="1642" customFormat="1" customHeight="1" ht="18.75" hidden="1">
      <c r="A316" s="1786"/>
      <c r="B316" s="1786"/>
      <c r="C316" s="376" t="s">
        <v>1197</v>
      </c>
      <c r="D316" s="2488"/>
      <c r="E316" s="2230"/>
      <c r="F316" s="2409"/>
      <c r="G316" s="2453"/>
      <c r="H316" s="1507"/>
      <c r="I316" s="658" t="s">
        <v>1196</v>
      </c>
      <c r="J316" s="578"/>
      <c r="K316" s="1507"/>
      <c r="L316" s="221"/>
      <c r="M316" s="348"/>
      <c r="N316" s="341"/>
      <c r="O316" s="1631"/>
      <c r="P316" s="1631"/>
      <c r="AH316" s="1638">
        <v>0</v>
      </c>
    </row>
    <row s="1642" customFormat="1" customHeight="1" ht="0.75" hidden="1">
      <c r="A317" s="1786"/>
      <c r="B317" s="1786"/>
      <c r="C317" s="376" t="s">
        <v>1204</v>
      </c>
      <c r="D317" s="2488"/>
      <c r="E317" s="2230"/>
      <c r="F317" s="2409"/>
      <c r="G317" s="407"/>
      <c r="H317" s="1507"/>
      <c r="I317" s="658"/>
      <c r="J317" s="578"/>
      <c r="K317" s="1507"/>
      <c r="L317" s="221"/>
      <c r="M317" s="348"/>
      <c r="N317" s="341"/>
      <c r="O317" s="1631"/>
      <c r="P317" s="1631"/>
      <c r="AH317" s="1638">
        <v>0</v>
      </c>
    </row>
    <row s="1642" customFormat="1" customHeight="1" ht="18.75" hidden="1">
      <c r="A318" s="1786" t="s">
        <v>259</v>
      </c>
      <c r="B318" s="1786" t="s">
        <v>260</v>
      </c>
      <c r="C318" s="376"/>
      <c r="D318" s="2488"/>
      <c r="E318" s="2230"/>
      <c r="F318" s="240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6"/>
      <c r="I318" s="1745"/>
      <c r="J318" s="1779"/>
      <c r="K318" s="1784"/>
      <c r="L318" s="1866" t="s">
        <v>305</v>
      </c>
      <c r="M318" s="348"/>
      <c r="N318" s="341"/>
      <c r="O318" s="1631"/>
      <c r="P318" s="1631"/>
      <c r="AH318" s="1638">
        <v>0</v>
      </c>
    </row>
    <row s="1642" customFormat="1" customHeight="1" ht="18.75" hidden="1">
      <c r="A319" s="1786"/>
      <c r="B319" s="1786"/>
      <c r="C319" s="376" t="s">
        <v>1197</v>
      </c>
      <c r="D319" s="2488"/>
      <c r="E319" s="2230"/>
      <c r="F319" s="2409"/>
      <c r="G319" s="2453"/>
      <c r="H319" s="1507"/>
      <c r="I319" s="658" t="s">
        <v>1196</v>
      </c>
      <c r="J319" s="578"/>
      <c r="K319" s="1507"/>
      <c r="L319" s="221"/>
      <c r="M319" s="348"/>
      <c r="N319" s="341"/>
      <c r="O319" s="1631"/>
      <c r="P319" s="1631"/>
      <c r="AH319" s="1638">
        <v>0</v>
      </c>
    </row>
    <row s="1642" customFormat="1" customHeight="1" ht="0.75" hidden="1">
      <c r="A320" s="1786"/>
      <c r="B320" s="1786"/>
      <c r="C320" s="376" t="s">
        <v>1204</v>
      </c>
      <c r="D320" s="2488"/>
      <c r="E320" s="2230"/>
      <c r="F320" s="2409"/>
      <c r="G320" s="407"/>
      <c r="H320" s="1507"/>
      <c r="I320" s="658"/>
      <c r="J320" s="578"/>
      <c r="K320" s="1507"/>
      <c r="L320" s="221"/>
      <c r="M320" s="348"/>
      <c r="N320" s="341"/>
      <c r="O320" s="1631"/>
      <c r="P320" s="1631"/>
      <c r="AH320" s="1638">
        <v>0</v>
      </c>
    </row>
    <row s="1642" customFormat="1" customHeight="1" ht="18.75" hidden="1">
      <c r="A321" s="1786" t="s">
        <v>264</v>
      </c>
      <c r="B321" s="1786" t="s">
        <v>265</v>
      </c>
      <c r="C321" s="376"/>
      <c r="D321" s="2488"/>
      <c r="E321" s="2230"/>
      <c r="F321" s="2409" t="str">
        <f>INDEX(PT_DIFFERENTIATION_VTAR,MATCH(A321,PT_DIFFERENTIATION_VTAR_ID,0))</f>
        <v>Тариф на водоотведение</v>
      </c>
      <c r="G321" s="2453" t="str">
        <f>INDEX(PT_DIFFERENTIATION_NTAR,MATCH(B321,PT_DIFFERENTIATION_NTAR_ID,0))</f>
        <v/>
      </c>
      <c r="H321" s="1866"/>
      <c r="I321" s="1745"/>
      <c r="J321" s="1779"/>
      <c r="K321" s="1784"/>
      <c r="L321" s="1866" t="s">
        <v>305</v>
      </c>
      <c r="M321" s="348"/>
      <c r="N321" s="341"/>
      <c r="O321" s="1631"/>
      <c r="P321" s="1631"/>
      <c r="AH321" s="1638">
        <v>0</v>
      </c>
    </row>
    <row s="1642" customFormat="1" customHeight="1" ht="18.75" hidden="1">
      <c r="A322" s="1786"/>
      <c r="B322" s="1786"/>
      <c r="C322" s="376" t="s">
        <v>1197</v>
      </c>
      <c r="D322" s="2488"/>
      <c r="E322" s="2230"/>
      <c r="F322" s="2409"/>
      <c r="G322" s="2453"/>
      <c r="H322" s="1507"/>
      <c r="I322" s="658" t="s">
        <v>1196</v>
      </c>
      <c r="J322" s="578"/>
      <c r="K322" s="1507"/>
      <c r="L322" s="221"/>
      <c r="M322" s="348"/>
      <c r="N322" s="341"/>
      <c r="O322" s="1631"/>
      <c r="P322" s="1631"/>
      <c r="AH322" s="1638">
        <v>0</v>
      </c>
    </row>
    <row s="1642" customFormat="1" customHeight="1" ht="0.75" hidden="1">
      <c r="A323" s="1786"/>
      <c r="B323" s="1786"/>
      <c r="C323" s="376" t="s">
        <v>1204</v>
      </c>
      <c r="D323" s="2488"/>
      <c r="E323" s="2230"/>
      <c r="F323" s="2409"/>
      <c r="G323" s="407"/>
      <c r="H323" s="1507"/>
      <c r="I323" s="658"/>
      <c r="J323" s="578"/>
      <c r="K323" s="1507"/>
      <c r="L323" s="221"/>
      <c r="M323" s="348"/>
      <c r="N323" s="341"/>
      <c r="O323" s="1631"/>
      <c r="P323" s="1631"/>
      <c r="AH323" s="1638">
        <v>0</v>
      </c>
    </row>
    <row s="1642" customFormat="1" customHeight="1" ht="18.75" hidden="1">
      <c r="A324" s="1786" t="s">
        <v>269</v>
      </c>
      <c r="B324" s="1786" t="s">
        <v>270</v>
      </c>
      <c r="C324" s="376"/>
      <c r="D324" s="2488"/>
      <c r="E324" s="2230"/>
      <c r="F324" s="2409" t="str">
        <f>INDEX(PT_DIFFERENTIATION_VTAR,MATCH(A324,PT_DIFFERENTIATION_VTAR_ID,0))</f>
        <v>Тариф на транспортировку сточных вод</v>
      </c>
      <c r="G324" s="2453" t="str">
        <f>INDEX(PT_DIFFERENTIATION_NTAR,MATCH(B324,PT_DIFFERENTIATION_NTAR_ID,0))</f>
        <v/>
      </c>
      <c r="H324" s="1866"/>
      <c r="I324" s="1745"/>
      <c r="J324" s="1779"/>
      <c r="K324" s="1784"/>
      <c r="L324" s="1866" t="s">
        <v>305</v>
      </c>
      <c r="M324" s="348"/>
      <c r="N324" s="341"/>
      <c r="O324" s="1631"/>
      <c r="P324" s="1631"/>
      <c r="AH324" s="1638">
        <v>0</v>
      </c>
    </row>
    <row s="1642" customFormat="1" customHeight="1" ht="18.75" hidden="1">
      <c r="A325" s="1786"/>
      <c r="B325" s="1786"/>
      <c r="C325" s="376" t="s">
        <v>1197</v>
      </c>
      <c r="D325" s="2488"/>
      <c r="E325" s="2230"/>
      <c r="F325" s="2409"/>
      <c r="G325" s="2453"/>
      <c r="H325" s="1507"/>
      <c r="I325" s="658" t="s">
        <v>1196</v>
      </c>
      <c r="J325" s="578"/>
      <c r="K325" s="1507"/>
      <c r="L325" s="221"/>
      <c r="M325" s="348"/>
      <c r="N325" s="341"/>
      <c r="O325" s="1631"/>
      <c r="P325" s="1631"/>
      <c r="AH325" s="1638">
        <v>0</v>
      </c>
    </row>
    <row s="1642" customFormat="1" customHeight="1" ht="0.75" hidden="1">
      <c r="A326" s="1786"/>
      <c r="B326" s="1786"/>
      <c r="C326" s="376" t="s">
        <v>1204</v>
      </c>
      <c r="D326" s="2488"/>
      <c r="E326" s="2230"/>
      <c r="F326" s="2409"/>
      <c r="G326" s="407"/>
      <c r="H326" s="1507"/>
      <c r="I326" s="658"/>
      <c r="J326" s="578"/>
      <c r="K326" s="1507"/>
      <c r="L326" s="221"/>
      <c r="M326" s="348"/>
      <c r="N326" s="341"/>
      <c r="O326" s="1631"/>
      <c r="P326" s="1631"/>
      <c r="AH326" s="1638">
        <v>0</v>
      </c>
    </row>
    <row s="1642" customFormat="1" customHeight="1" ht="18.75" hidden="1">
      <c r="A327" s="1786" t="s">
        <v>274</v>
      </c>
      <c r="B327" s="1786" t="s">
        <v>275</v>
      </c>
      <c r="C327" s="376"/>
      <c r="D327" s="2488"/>
      <c r="E327" s="2230"/>
      <c r="F327" s="2409"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6"/>
      <c r="I327" s="1745"/>
      <c r="J327" s="1779"/>
      <c r="K327" s="1784"/>
      <c r="L327" s="1866" t="s">
        <v>305</v>
      </c>
      <c r="M327" s="348"/>
      <c r="N327" s="341"/>
      <c r="O327" s="1631"/>
      <c r="P327" s="1631"/>
      <c r="AH327" s="1638">
        <v>0</v>
      </c>
    </row>
    <row s="1642" customFormat="1" customHeight="1" ht="18.75" hidden="1">
      <c r="A328" s="1786"/>
      <c r="B328" s="1786"/>
      <c r="C328" s="376" t="s">
        <v>1197</v>
      </c>
      <c r="D328" s="2488"/>
      <c r="E328" s="2230"/>
      <c r="F328" s="2409"/>
      <c r="G328" s="2453"/>
      <c r="H328" s="1507"/>
      <c r="I328" s="658" t="s">
        <v>1196</v>
      </c>
      <c r="J328" s="578"/>
      <c r="K328" s="1507"/>
      <c r="L328" s="221"/>
      <c r="M328" s="348"/>
      <c r="N328" s="341"/>
      <c r="O328" s="1631"/>
      <c r="P328" s="1631"/>
      <c r="AH328" s="1638">
        <v>0</v>
      </c>
    </row>
    <row s="1642" customFormat="1" customHeight="1" ht="1.05">
      <c r="A329" s="1786"/>
      <c r="B329" s="1786"/>
      <c r="C329" s="376" t="s">
        <v>1204</v>
      </c>
      <c r="D329" s="2488"/>
      <c r="E329" s="2230"/>
      <c r="F329" s="2409"/>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11"/>
      <c r="G331" s="2311"/>
      <c r="H331" s="2311"/>
      <c r="I331" s="2311"/>
      <c r="J331" s="2311"/>
      <c r="K331" s="2311"/>
      <c r="L331" s="2311"/>
      <c r="M331" s="2311"/>
      <c r="AH331" s="381">
        <v>25</v>
      </c>
    </row>
    <row customHeight="1" ht="14.25" hidden="1">
      <c r="A332" s="1785" t="s">
        <v>82</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B7D33-DDB9-C10D-4F6F-EBE9C98CB6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574</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8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81"/>
      <c r="F5" s="2481"/>
      <c r="G5" s="2482"/>
      <c r="H5" s="273"/>
      <c r="R5" s="381">
        <v>33</v>
      </c>
    </row>
    <row s="1642" customFormat="1" customHeight="1" ht="18">
      <c r="A6" s="1675"/>
      <c r="B6" s="1167"/>
      <c r="C6" s="383"/>
      <c r="D6" s="2483" t="str">
        <f>IF(org=0,"Не определено",org)</f>
        <v>Общество с ограниченной ответственностью "Сигнал", г. Серов</v>
      </c>
      <c r="E6" s="2484"/>
      <c r="F6" s="2484"/>
      <c r="G6" s="2485"/>
      <c r="H6" s="273"/>
      <c r="J6" s="1631"/>
      <c r="K6" s="1631"/>
      <c r="R6" s="1638">
        <v>17</v>
      </c>
    </row>
    <row customHeight="1" ht="14.699999999999998">
      <c r="C7" s="383"/>
      <c r="D7" s="370"/>
      <c r="E7" s="396"/>
      <c r="F7" s="396"/>
      <c r="G7" s="759"/>
      <c r="H7" s="200"/>
      <c r="R7" s="381">
        <v>14</v>
      </c>
    </row>
    <row customHeight="1" ht="14.699999999999998">
      <c r="C8" s="383"/>
      <c r="D8" s="2235" t="s">
        <v>299</v>
      </c>
      <c r="E8" s="2235"/>
      <c r="F8" s="2235"/>
      <c r="G8" s="2235"/>
      <c r="H8" s="2415" t="s">
        <v>300</v>
      </c>
      <c r="R8" s="381">
        <v>14</v>
      </c>
    </row>
    <row customHeight="1" ht="24">
      <c r="C9" s="383"/>
      <c r="D9" s="393" t="s">
        <v>88</v>
      </c>
      <c r="E9" s="115" t="s">
        <v>301</v>
      </c>
      <c r="F9" s="115" t="s">
        <v>302</v>
      </c>
      <c r="G9" s="115" t="s">
        <v>389</v>
      </c>
      <c r="H9" s="2415"/>
      <c r="R9" s="381">
        <v>23</v>
      </c>
    </row>
    <row customHeight="1" ht="14.699999999999998">
      <c r="A10" s="350"/>
      <c r="C10" s="383"/>
      <c r="D10" s="154"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
      <c r="G10" s="220"/>
      <c r="H10" s="2195" t="s">
        <v>1205</v>
      </c>
      <c r="R10" s="381">
        <v>14</v>
      </c>
    </row>
    <row customHeight="1" ht="14.699999999999998">
      <c r="A11" s="350"/>
      <c r="C11" s="383"/>
      <c r="D11" s="154"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
      <c r="G11" s="220"/>
      <c r="H11" s="2196"/>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6"/>
      <c r="I13" s="357"/>
      <c r="K13" s="381"/>
      <c r="R13" s="381">
        <v>14</v>
      </c>
    </row>
    <row customHeight="1" ht="14.699999999999998">
      <c r="A14" s="350"/>
      <c r="C14" s="383"/>
      <c r="D14" s="354"/>
      <c r="E14" s="402" t="s">
        <v>321</v>
      </c>
      <c r="F14" s="356"/>
      <c r="G14" s="208"/>
      <c r="H14" s="2197"/>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11"/>
      <c r="F16" s="2411"/>
      <c r="G16" s="2411"/>
      <c r="H16" s="2411"/>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893BE-EF03-973F-5FD4-453B82871C1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4"/>
      <c r="F5" s="2184"/>
      <c r="G5" s="2184"/>
      <c r="H5" s="2184"/>
      <c r="I5" s="2184"/>
      <c r="J5" s="2185"/>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9" t="str">
        <f>IF(org=0,"Не определено",org)</f>
        <v>Общество с ограниченной ответственностью "Сигнал", г. Серов</v>
      </c>
      <c r="E6" s="2189"/>
      <c r="F6" s="2189"/>
      <c r="G6" s="2189"/>
      <c r="H6" s="2189"/>
      <c r="I6" s="2189"/>
      <c r="J6" s="2189"/>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6"/>
      <c r="E7" s="2187"/>
      <c r="F7" s="2187"/>
      <c r="G7" s="2187"/>
      <c r="H7" s="2187"/>
      <c r="I7" s="2187"/>
      <c r="J7" s="2188"/>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53" t="s">
        <v>88</v>
      </c>
      <c r="E9" s="2127" t="s">
        <v>123</v>
      </c>
      <c r="F9" s="2129"/>
      <c r="G9" s="2153" t="s">
        <v>105</v>
      </c>
      <c r="H9" s="2153" t="s">
        <v>88</v>
      </c>
      <c r="I9" s="2153"/>
      <c r="J9" s="2153" t="s">
        <v>124</v>
      </c>
      <c r="K9" s="2181" t="s">
        <v>125</v>
      </c>
      <c r="L9" s="2181"/>
      <c r="M9" s="2181"/>
      <c r="N9" s="2181"/>
      <c r="O9" s="2181" t="s">
        <v>126</v>
      </c>
      <c r="P9" s="2181"/>
      <c r="Q9" s="2181"/>
      <c r="R9" s="2181"/>
      <c r="S9" s="2181" t="s">
        <v>127</v>
      </c>
      <c r="T9" s="2181"/>
      <c r="U9" s="2181"/>
      <c r="V9" s="2181"/>
      <c r="W9" s="2153" t="s">
        <v>128</v>
      </c>
      <c r="AR9" s="111">
        <v>27</v>
      </c>
    </row>
    <row customHeight="1" ht="31.5">
      <c r="D10" s="2153"/>
      <c r="E10" s="1291" t="s">
        <v>89</v>
      </c>
      <c r="F10" s="1291" t="s">
        <v>129</v>
      </c>
      <c r="G10" s="2153"/>
      <c r="H10" s="2153"/>
      <c r="I10" s="2153"/>
      <c r="J10" s="2153"/>
      <c r="K10" s="117" t="s">
        <v>108</v>
      </c>
      <c r="L10" s="2153" t="s">
        <v>88</v>
      </c>
      <c r="M10" s="2153"/>
      <c r="N10" s="117" t="s">
        <v>130</v>
      </c>
      <c r="O10" s="117" t="s">
        <v>108</v>
      </c>
      <c r="P10" s="2153" t="s">
        <v>88</v>
      </c>
      <c r="Q10" s="2153"/>
      <c r="R10" s="117" t="s">
        <v>130</v>
      </c>
      <c r="S10" s="290" t="s">
        <v>108</v>
      </c>
      <c r="T10" s="2153" t="s">
        <v>88</v>
      </c>
      <c r="U10" s="2153"/>
      <c r="V10" s="290" t="s">
        <v>89</v>
      </c>
      <c r="W10" s="2153"/>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c r="D11" s="1256" t="s">
        <v>109</v>
      </c>
      <c r="E11" s="1256" t="s">
        <v>110</v>
      </c>
      <c r="F11" s="1256"/>
      <c r="G11" s="1256" t="s">
        <v>90</v>
      </c>
      <c r="H11" s="2182" t="s">
        <v>111</v>
      </c>
      <c r="I11" s="2182"/>
      <c r="J11" s="1256" t="s">
        <v>92</v>
      </c>
      <c r="K11" s="1256" t="s">
        <v>93</v>
      </c>
      <c r="L11" s="2182" t="s">
        <v>112</v>
      </c>
      <c r="M11" s="2182"/>
      <c r="N11" s="1256" t="s">
        <v>149</v>
      </c>
      <c r="O11" s="1256" t="s">
        <v>150</v>
      </c>
      <c r="P11" s="2182" t="s">
        <v>151</v>
      </c>
      <c r="Q11" s="2182"/>
      <c r="R11" s="1256" t="s">
        <v>152</v>
      </c>
      <c r="S11" s="1256" t="s">
        <v>151</v>
      </c>
      <c r="T11" s="2182" t="s">
        <v>152</v>
      </c>
      <c r="U11" s="2182"/>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c r="A13" s="328"/>
      <c r="C13" s="216"/>
      <c r="D13" s="2161">
        <v>1</v>
      </c>
      <c r="E13" s="2169" t="s">
        <v>155</v>
      </c>
      <c r="F13" s="2171" t="s">
        <v>19</v>
      </c>
      <c r="G13" s="2169"/>
      <c r="H13" s="2174"/>
      <c r="I13" s="2176"/>
      <c r="J13" s="2178"/>
      <c r="K13" s="2163"/>
      <c r="L13" s="2163"/>
      <c r="M13" s="2163"/>
      <c r="N13" s="2165"/>
      <c r="O13" s="2163"/>
      <c r="P13" s="2163"/>
      <c r="Q13" s="2163"/>
      <c r="R13" s="2168"/>
      <c r="S13" s="2163"/>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c r="A14" s="328"/>
      <c r="C14" s="327"/>
      <c r="D14" s="2161"/>
      <c r="E14" s="2169"/>
      <c r="F14" s="2172"/>
      <c r="G14" s="2169"/>
      <c r="H14" s="2175"/>
      <c r="I14" s="2177"/>
      <c r="J14" s="2179"/>
      <c r="K14" s="2164"/>
      <c r="L14" s="2164"/>
      <c r="M14" s="2164"/>
      <c r="N14" s="2166"/>
      <c r="O14" s="2164"/>
      <c r="P14" s="2164"/>
      <c r="Q14" s="2164"/>
      <c r="R14" s="2167"/>
      <c r="S14" s="2164"/>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c r="A15" s="328"/>
      <c r="C15" s="216"/>
      <c r="D15" s="2161"/>
      <c r="E15" s="2169"/>
      <c r="F15" s="2172"/>
      <c r="G15" s="2169"/>
      <c r="H15" s="2175"/>
      <c r="I15" s="2177"/>
      <c r="J15" s="2180"/>
      <c r="K15" s="2164"/>
      <c r="L15" s="2164"/>
      <c r="M15" s="2164"/>
      <c r="N15" s="2167"/>
      <c r="O15" s="2164"/>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c r="A16" s="328"/>
      <c r="C16" s="327"/>
      <c r="D16" s="2161"/>
      <c r="E16" s="2169"/>
      <c r="F16" s="2172"/>
      <c r="G16" s="2169"/>
      <c r="H16" s="2175"/>
      <c r="I16" s="2177"/>
      <c r="J16" s="2180"/>
      <c r="K16" s="2164"/>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c r="A17" s="328"/>
      <c r="C17" s="327"/>
      <c r="D17" s="2162"/>
      <c r="E17" s="2170"/>
      <c r="F17" s="2173"/>
      <c r="G17" s="2170"/>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c r="A18" s="328"/>
      <c r="C18" s="216"/>
      <c r="D18" s="2161">
        <v>2</v>
      </c>
      <c r="E18" s="2190"/>
      <c r="F18" s="2171" t="s">
        <v>19</v>
      </c>
      <c r="G18" s="2169"/>
      <c r="H18" s="2174"/>
      <c r="I18" s="2176"/>
      <c r="J18" s="2178"/>
      <c r="K18" s="2163"/>
      <c r="L18" s="2163"/>
      <c r="M18" s="2163"/>
      <c r="N18" s="2165"/>
      <c r="O18" s="2163"/>
      <c r="P18" s="2163"/>
      <c r="Q18" s="2163"/>
      <c r="R18" s="2168"/>
      <c r="S18" s="2163"/>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c r="A19" s="328"/>
      <c r="C19" s="327"/>
      <c r="D19" s="2161"/>
      <c r="E19" s="2190"/>
      <c r="F19" s="2172"/>
      <c r="G19" s="2169"/>
      <c r="H19" s="2175"/>
      <c r="I19" s="2177"/>
      <c r="J19" s="2179"/>
      <c r="K19" s="2164"/>
      <c r="L19" s="2164"/>
      <c r="M19" s="2164"/>
      <c r="N19" s="2166"/>
      <c r="O19" s="2164"/>
      <c r="P19" s="2164"/>
      <c r="Q19" s="2164"/>
      <c r="R19" s="2167"/>
      <c r="S19" s="2164"/>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c r="A20" s="328"/>
      <c r="C20" s="327"/>
      <c r="D20" s="2162"/>
      <c r="E20" s="2191"/>
      <c r="F20" s="2172"/>
      <c r="G20" s="2170"/>
      <c r="H20" s="2175"/>
      <c r="I20" s="2177"/>
      <c r="J20" s="2180"/>
      <c r="K20" s="2164"/>
      <c r="L20" s="2164"/>
      <c r="M20" s="2164"/>
      <c r="N20" s="2167"/>
      <c r="O20" s="2164"/>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c r="A21" s="328"/>
      <c r="C21" s="327"/>
      <c r="D21" s="2162"/>
      <c r="E21" s="2191"/>
      <c r="F21" s="2172"/>
      <c r="G21" s="2170"/>
      <c r="H21" s="2175"/>
      <c r="I21" s="2177"/>
      <c r="J21" s="2180"/>
      <c r="K21" s="2164"/>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c r="A22" s="328"/>
      <c r="C22" s="327"/>
      <c r="D22" s="2162"/>
      <c r="E22" s="2191"/>
      <c r="F22" s="2173"/>
      <c r="G22" s="2170"/>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c r="A23" s="328"/>
      <c r="C23" s="216"/>
      <c r="D23" s="2161">
        <v>2</v>
      </c>
      <c r="E23" s="2169" t="s">
        <v>166</v>
      </c>
      <c r="F23" s="2171" t="s">
        <v>19</v>
      </c>
      <c r="G23" s="2169"/>
      <c r="H23" s="2174"/>
      <c r="I23" s="2176"/>
      <c r="J23" s="2178"/>
      <c r="K23" s="2163"/>
      <c r="L23" s="2163"/>
      <c r="M23" s="2163"/>
      <c r="N23" s="2165"/>
      <c r="O23" s="2163"/>
      <c r="P23" s="2163"/>
      <c r="Q23" s="2163"/>
      <c r="R23" s="2168"/>
      <c r="S23" s="2163"/>
      <c r="T23" s="2002"/>
      <c r="U23" s="2002"/>
      <c r="V23" s="2004"/>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c r="A24" s="328"/>
      <c r="C24" s="327"/>
      <c r="D24" s="2161"/>
      <c r="E24" s="2169"/>
      <c r="F24" s="2172"/>
      <c r="G24" s="2169"/>
      <c r="H24" s="2175"/>
      <c r="I24" s="2177"/>
      <c r="J24" s="2179"/>
      <c r="K24" s="2164"/>
      <c r="L24" s="2164"/>
      <c r="M24" s="2164"/>
      <c r="N24" s="2166"/>
      <c r="O24" s="2164"/>
      <c r="P24" s="2164"/>
      <c r="Q24" s="2164"/>
      <c r="R24" s="2167"/>
      <c r="S24" s="2164"/>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c r="A25" s="328"/>
      <c r="C25" s="327"/>
      <c r="D25" s="2162"/>
      <c r="E25" s="2170"/>
      <c r="F25" s="2172"/>
      <c r="G25" s="2170"/>
      <c r="H25" s="2175"/>
      <c r="I25" s="2177"/>
      <c r="J25" s="2180"/>
      <c r="K25" s="2164"/>
      <c r="L25" s="2164"/>
      <c r="M25" s="2164"/>
      <c r="N25" s="2167"/>
      <c r="O25" s="2164"/>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c r="A26" s="328"/>
      <c r="C26" s="327"/>
      <c r="D26" s="2162"/>
      <c r="E26" s="2170"/>
      <c r="F26" s="2172"/>
      <c r="G26" s="2170"/>
      <c r="H26" s="2175"/>
      <c r="I26" s="2177"/>
      <c r="J26" s="2180"/>
      <c r="K26" s="2164"/>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c r="A27" s="328"/>
      <c r="C27" s="327"/>
      <c r="D27" s="2162"/>
      <c r="E27" s="2170"/>
      <c r="F27" s="2173"/>
      <c r="G27" s="2170"/>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c r="A28" s="328"/>
      <c r="C28" s="216"/>
      <c r="D28" s="2161">
        <v>3</v>
      </c>
      <c r="E28" s="2169" t="s">
        <v>167</v>
      </c>
      <c r="F28" s="2171" t="s">
        <v>19</v>
      </c>
      <c r="G28" s="2169"/>
      <c r="H28" s="2174"/>
      <c r="I28" s="2176"/>
      <c r="J28" s="2178"/>
      <c r="K28" s="2163"/>
      <c r="L28" s="2163"/>
      <c r="M28" s="2163"/>
      <c r="N28" s="2165"/>
      <c r="O28" s="2163"/>
      <c r="P28" s="2163"/>
      <c r="Q28" s="2163"/>
      <c r="R28" s="2168"/>
      <c r="S28" s="2163"/>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c r="A29" s="328"/>
      <c r="C29" s="327"/>
      <c r="D29" s="2161"/>
      <c r="E29" s="2169"/>
      <c r="F29" s="2172"/>
      <c r="G29" s="2169"/>
      <c r="H29" s="2175"/>
      <c r="I29" s="2177"/>
      <c r="J29" s="2179"/>
      <c r="K29" s="2164"/>
      <c r="L29" s="2164"/>
      <c r="M29" s="2164"/>
      <c r="N29" s="2166"/>
      <c r="O29" s="2164"/>
      <c r="P29" s="2164"/>
      <c r="Q29" s="2164"/>
      <c r="R29" s="2167"/>
      <c r="S29" s="2164"/>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c r="A30" s="328"/>
      <c r="C30" s="327"/>
      <c r="D30" s="2162"/>
      <c r="E30" s="2170"/>
      <c r="F30" s="2172"/>
      <c r="G30" s="2170"/>
      <c r="H30" s="2175"/>
      <c r="I30" s="2177"/>
      <c r="J30" s="2180"/>
      <c r="K30" s="2164"/>
      <c r="L30" s="2164"/>
      <c r="M30" s="2164"/>
      <c r="N30" s="2167"/>
      <c r="O30" s="2164"/>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c r="A31" s="328"/>
      <c r="C31" s="327"/>
      <c r="D31" s="2162"/>
      <c r="E31" s="2170"/>
      <c r="F31" s="2172"/>
      <c r="G31" s="2170"/>
      <c r="H31" s="2175"/>
      <c r="I31" s="2177"/>
      <c r="J31" s="2180"/>
      <c r="K31" s="2164"/>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c r="A32" s="328"/>
      <c r="C32" s="327"/>
      <c r="D32" s="2162"/>
      <c r="E32" s="2170"/>
      <c r="F32" s="2173"/>
      <c r="G32" s="2170"/>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c r="A33" s="328"/>
      <c r="C33" s="216"/>
      <c r="D33" s="2161">
        <v>4</v>
      </c>
      <c r="E33" s="2169" t="s">
        <v>173</v>
      </c>
      <c r="F33" s="2171" t="s">
        <v>19</v>
      </c>
      <c r="G33" s="2169"/>
      <c r="H33" s="2174"/>
      <c r="I33" s="2176"/>
      <c r="J33" s="2178"/>
      <c r="K33" s="2163"/>
      <c r="L33" s="2163"/>
      <c r="M33" s="2163"/>
      <c r="N33" s="2165"/>
      <c r="O33" s="2163"/>
      <c r="P33" s="2163"/>
      <c r="Q33" s="2163"/>
      <c r="R33" s="2168"/>
      <c r="S33" s="2163"/>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c r="A34" s="328"/>
      <c r="C34" s="327"/>
      <c r="D34" s="2161"/>
      <c r="E34" s="2169"/>
      <c r="F34" s="2172"/>
      <c r="G34" s="2169"/>
      <c r="H34" s="2175"/>
      <c r="I34" s="2177"/>
      <c r="J34" s="2179"/>
      <c r="K34" s="2164"/>
      <c r="L34" s="2164"/>
      <c r="M34" s="2164"/>
      <c r="N34" s="2166"/>
      <c r="O34" s="2164"/>
      <c r="P34" s="2164"/>
      <c r="Q34" s="2164"/>
      <c r="R34" s="2167"/>
      <c r="S34" s="2164"/>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c r="A35" s="328"/>
      <c r="C35" s="327"/>
      <c r="D35" s="2162"/>
      <c r="E35" s="2170"/>
      <c r="F35" s="2172"/>
      <c r="G35" s="2170"/>
      <c r="H35" s="2175"/>
      <c r="I35" s="2177"/>
      <c r="J35" s="2180"/>
      <c r="K35" s="2164"/>
      <c r="L35" s="2164"/>
      <c r="M35" s="2164"/>
      <c r="N35" s="2167"/>
      <c r="O35" s="2164"/>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c r="A36" s="328"/>
      <c r="C36" s="327"/>
      <c r="D36" s="2162"/>
      <c r="E36" s="2170"/>
      <c r="F36" s="2172"/>
      <c r="G36" s="2170"/>
      <c r="H36" s="2175"/>
      <c r="I36" s="2177"/>
      <c r="J36" s="2180"/>
      <c r="K36" s="2164"/>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c r="A37" s="328"/>
      <c r="C37" s="327"/>
      <c r="D37" s="2162"/>
      <c r="E37" s="2170"/>
      <c r="F37" s="2173"/>
      <c r="G37" s="2170"/>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c r="A38" s="328"/>
      <c r="C38" s="216"/>
      <c r="D38" s="2161">
        <v>5</v>
      </c>
      <c r="E38" s="2169" t="s">
        <v>179</v>
      </c>
      <c r="F38" s="2171" t="s">
        <v>19</v>
      </c>
      <c r="G38" s="2169"/>
      <c r="H38" s="2174"/>
      <c r="I38" s="2176"/>
      <c r="J38" s="2178"/>
      <c r="K38" s="2163"/>
      <c r="L38" s="2163"/>
      <c r="M38" s="2163"/>
      <c r="N38" s="2165"/>
      <c r="O38" s="2163"/>
      <c r="P38" s="2163"/>
      <c r="Q38" s="2163"/>
      <c r="R38" s="2168"/>
      <c r="S38" s="2163"/>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c r="A39" s="328"/>
      <c r="C39" s="327"/>
      <c r="D39" s="2161"/>
      <c r="E39" s="2169"/>
      <c r="F39" s="2172"/>
      <c r="G39" s="2169"/>
      <c r="H39" s="2175"/>
      <c r="I39" s="2177"/>
      <c r="J39" s="2179"/>
      <c r="K39" s="2164"/>
      <c r="L39" s="2164"/>
      <c r="M39" s="2164"/>
      <c r="N39" s="2166"/>
      <c r="O39" s="2164"/>
      <c r="P39" s="2164"/>
      <c r="Q39" s="2164"/>
      <c r="R39" s="2167"/>
      <c r="S39" s="2164"/>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c r="A40" s="328"/>
      <c r="C40" s="327"/>
      <c r="D40" s="2162"/>
      <c r="E40" s="2170"/>
      <c r="F40" s="2172"/>
      <c r="G40" s="2170"/>
      <c r="H40" s="2175"/>
      <c r="I40" s="2177"/>
      <c r="J40" s="2180"/>
      <c r="K40" s="2164"/>
      <c r="L40" s="2164"/>
      <c r="M40" s="2164"/>
      <c r="N40" s="2167"/>
      <c r="O40" s="2164"/>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c r="A41" s="328"/>
      <c r="C41" s="327"/>
      <c r="D41" s="2162"/>
      <c r="E41" s="2170"/>
      <c r="F41" s="2172"/>
      <c r="G41" s="2170"/>
      <c r="H41" s="2175"/>
      <c r="I41" s="2177"/>
      <c r="J41" s="2180"/>
      <c r="K41" s="2164"/>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c r="A42" s="328"/>
      <c r="C42" s="327"/>
      <c r="D42" s="2162"/>
      <c r="E42" s="2170"/>
      <c r="F42" s="2173"/>
      <c r="G42" s="2170"/>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c r="A43" s="328"/>
      <c r="C43" s="216"/>
      <c r="D43" s="2161">
        <v>6</v>
      </c>
      <c r="E43" s="2169" t="s">
        <v>185</v>
      </c>
      <c r="F43" s="2171" t="s">
        <v>19</v>
      </c>
      <c r="G43" s="2169"/>
      <c r="H43" s="2174"/>
      <c r="I43" s="2176"/>
      <c r="J43" s="2178"/>
      <c r="K43" s="2163"/>
      <c r="L43" s="2163"/>
      <c r="M43" s="2163"/>
      <c r="N43" s="2165"/>
      <c r="O43" s="2163"/>
      <c r="P43" s="2163"/>
      <c r="Q43" s="2163"/>
      <c r="R43" s="2168"/>
      <c r="S43" s="2163"/>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c r="A44" s="328"/>
      <c r="C44" s="327"/>
      <c r="D44" s="2161"/>
      <c r="E44" s="2169"/>
      <c r="F44" s="2172"/>
      <c r="G44" s="2169"/>
      <c r="H44" s="2175"/>
      <c r="I44" s="2177"/>
      <c r="J44" s="2179"/>
      <c r="K44" s="2164"/>
      <c r="L44" s="2164"/>
      <c r="M44" s="2164"/>
      <c r="N44" s="2166"/>
      <c r="O44" s="2164"/>
      <c r="P44" s="2164"/>
      <c r="Q44" s="2164"/>
      <c r="R44" s="2167"/>
      <c r="S44" s="2164"/>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c r="A45" s="328"/>
      <c r="C45" s="327"/>
      <c r="D45" s="2162"/>
      <c r="E45" s="2170"/>
      <c r="F45" s="2172"/>
      <c r="G45" s="2170"/>
      <c r="H45" s="2175"/>
      <c r="I45" s="2177"/>
      <c r="J45" s="2180"/>
      <c r="K45" s="2164"/>
      <c r="L45" s="2164"/>
      <c r="M45" s="2164"/>
      <c r="N45" s="2167"/>
      <c r="O45" s="2164"/>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c r="A46" s="328"/>
      <c r="C46" s="216"/>
      <c r="D46" s="2162"/>
      <c r="E46" s="2170"/>
      <c r="F46" s="2172"/>
      <c r="G46" s="2170"/>
      <c r="H46" s="2175"/>
      <c r="I46" s="2177"/>
      <c r="J46" s="2180"/>
      <c r="K46" s="2164"/>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c r="A47" s="328"/>
      <c r="C47" s="327"/>
      <c r="D47" s="2162"/>
      <c r="E47" s="2170"/>
      <c r="F47" s="2173"/>
      <c r="G47" s="2170"/>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c r="A48" s="328"/>
      <c r="C48" s="216"/>
      <c r="D48" s="2192">
        <v>7</v>
      </c>
      <c r="E48" s="2195" t="s">
        <v>191</v>
      </c>
      <c r="F48" s="2171" t="s">
        <v>19</v>
      </c>
      <c r="G48" s="2195"/>
      <c r="H48" s="2174"/>
      <c r="I48" s="2176"/>
      <c r="J48" s="2178"/>
      <c r="K48" s="2163"/>
      <c r="L48" s="2163"/>
      <c r="M48" s="2163"/>
      <c r="N48" s="2165"/>
      <c r="O48" s="2163"/>
      <c r="P48" s="2163"/>
      <c r="Q48" s="2163"/>
      <c r="R48" s="2168"/>
      <c r="S48" s="2163"/>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c r="A49" s="328"/>
      <c r="C49" s="327"/>
      <c r="D49" s="2193"/>
      <c r="E49" s="2196"/>
      <c r="F49" s="2172"/>
      <c r="G49" s="2196"/>
      <c r="H49" s="2175"/>
      <c r="I49" s="2177"/>
      <c r="J49" s="2179"/>
      <c r="K49" s="2164"/>
      <c r="L49" s="2164"/>
      <c r="M49" s="2164"/>
      <c r="N49" s="2166"/>
      <c r="O49" s="2164"/>
      <c r="P49" s="2164"/>
      <c r="Q49" s="2164"/>
      <c r="R49" s="2167"/>
      <c r="S49" s="2164"/>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c r="A50" s="328"/>
      <c r="C50" s="327"/>
      <c r="D50" s="2193"/>
      <c r="E50" s="2196"/>
      <c r="F50" s="2172"/>
      <c r="G50" s="2196"/>
      <c r="H50" s="2175"/>
      <c r="I50" s="2177"/>
      <c r="J50" s="2180"/>
      <c r="K50" s="2164"/>
      <c r="L50" s="2164"/>
      <c r="M50" s="2164"/>
      <c r="N50" s="2167"/>
      <c r="O50" s="2164"/>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c r="A51" s="328"/>
      <c r="C51" s="216"/>
      <c r="D51" s="2193"/>
      <c r="E51" s="2196"/>
      <c r="F51" s="2172"/>
      <c r="G51" s="2196"/>
      <c r="H51" s="2175"/>
      <c r="I51" s="2177"/>
      <c r="J51" s="2180"/>
      <c r="K51" s="2164"/>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c r="A52" s="328"/>
      <c r="C52" s="327"/>
      <c r="D52" s="2194"/>
      <c r="E52" s="2197"/>
      <c r="F52" s="2173"/>
      <c r="G52" s="2197"/>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c r="A53" s="328"/>
      <c r="C53" s="216"/>
      <c r="D53" s="2161">
        <v>8</v>
      </c>
      <c r="E53" s="2169" t="s">
        <v>197</v>
      </c>
      <c r="F53" s="2171" t="s">
        <v>19</v>
      </c>
      <c r="G53" s="2169"/>
      <c r="H53" s="2174"/>
      <c r="I53" s="2176"/>
      <c r="J53" s="2178"/>
      <c r="K53" s="2163"/>
      <c r="L53" s="2163"/>
      <c r="M53" s="2163"/>
      <c r="N53" s="2165"/>
      <c r="O53" s="2163"/>
      <c r="P53" s="2163"/>
      <c r="Q53" s="2163"/>
      <c r="R53" s="2168"/>
      <c r="S53" s="2163"/>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c r="A54" s="328"/>
      <c r="C54" s="327"/>
      <c r="D54" s="2161"/>
      <c r="E54" s="2169"/>
      <c r="F54" s="2172"/>
      <c r="G54" s="2169"/>
      <c r="H54" s="2175"/>
      <c r="I54" s="2177"/>
      <c r="J54" s="2179"/>
      <c r="K54" s="2164"/>
      <c r="L54" s="2164"/>
      <c r="M54" s="2164"/>
      <c r="N54" s="2166"/>
      <c r="O54" s="2164"/>
      <c r="P54" s="2164"/>
      <c r="Q54" s="2164"/>
      <c r="R54" s="2167"/>
      <c r="S54" s="2164"/>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c r="A55" s="328"/>
      <c r="C55" s="327"/>
      <c r="D55" s="2162"/>
      <c r="E55" s="2170"/>
      <c r="F55" s="2172"/>
      <c r="G55" s="2170"/>
      <c r="H55" s="2175"/>
      <c r="I55" s="2177"/>
      <c r="J55" s="2180"/>
      <c r="K55" s="2164"/>
      <c r="L55" s="2164"/>
      <c r="M55" s="2164"/>
      <c r="N55" s="2167"/>
      <c r="O55" s="2164"/>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c r="A56" s="328"/>
      <c r="C56" s="216"/>
      <c r="D56" s="2162"/>
      <c r="E56" s="2170"/>
      <c r="F56" s="2172"/>
      <c r="G56" s="2170"/>
      <c r="H56" s="2175"/>
      <c r="I56" s="2177"/>
      <c r="J56" s="2180"/>
      <c r="K56" s="2164"/>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c r="A57" s="328"/>
      <c r="C57" s="327"/>
      <c r="D57" s="2162"/>
      <c r="E57" s="2170"/>
      <c r="F57" s="2173"/>
      <c r="G57" s="2170"/>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c r="A58" s="328"/>
      <c r="C58" s="216"/>
      <c r="D58" s="2161">
        <v>9</v>
      </c>
      <c r="E58" s="2169" t="s">
        <v>203</v>
      </c>
      <c r="F58" s="2171" t="s">
        <v>19</v>
      </c>
      <c r="G58" s="2169"/>
      <c r="H58" s="2174"/>
      <c r="I58" s="2176"/>
      <c r="J58" s="2178"/>
      <c r="K58" s="2163"/>
      <c r="L58" s="2163"/>
      <c r="M58" s="2163"/>
      <c r="N58" s="2165"/>
      <c r="O58" s="2163"/>
      <c r="P58" s="2163"/>
      <c r="Q58" s="2163"/>
      <c r="R58" s="2168"/>
      <c r="S58" s="2163"/>
      <c r="T58" s="1935"/>
      <c r="U58" s="1935"/>
      <c r="V58" s="1937"/>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c r="A59" s="328"/>
      <c r="C59" s="327"/>
      <c r="D59" s="2161"/>
      <c r="E59" s="2169"/>
      <c r="F59" s="2172"/>
      <c r="G59" s="2169"/>
      <c r="H59" s="2175"/>
      <c r="I59" s="2177"/>
      <c r="J59" s="2179"/>
      <c r="K59" s="2164"/>
      <c r="L59" s="2164"/>
      <c r="M59" s="2164"/>
      <c r="N59" s="2166"/>
      <c r="O59" s="2164"/>
      <c r="P59" s="2164"/>
      <c r="Q59" s="2164"/>
      <c r="R59" s="2167"/>
      <c r="S59" s="2164"/>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c r="A60" s="328"/>
      <c r="C60" s="327"/>
      <c r="D60" s="2162"/>
      <c r="E60" s="2170"/>
      <c r="F60" s="2172"/>
      <c r="G60" s="2170"/>
      <c r="H60" s="2175"/>
      <c r="I60" s="2177"/>
      <c r="J60" s="2180"/>
      <c r="K60" s="2164"/>
      <c r="L60" s="2164"/>
      <c r="M60" s="2164"/>
      <c r="N60" s="2167"/>
      <c r="O60" s="2164"/>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c r="A61" s="328"/>
      <c r="C61" s="216"/>
      <c r="D61" s="2162"/>
      <c r="E61" s="2170"/>
      <c r="F61" s="2172"/>
      <c r="G61" s="2170"/>
      <c r="H61" s="2175"/>
      <c r="I61" s="2177"/>
      <c r="J61" s="2180"/>
      <c r="K61" s="2164"/>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c r="A62" s="328"/>
      <c r="C62" s="327"/>
      <c r="D62" s="2162"/>
      <c r="E62" s="2170"/>
      <c r="F62" s="2173"/>
      <c r="G62" s="2170"/>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c r="A63" s="328"/>
      <c r="C63" s="216"/>
      <c r="D63" s="2161">
        <v>10</v>
      </c>
      <c r="E63" s="2169" t="s">
        <v>209</v>
      </c>
      <c r="F63" s="2171" t="s">
        <v>19</v>
      </c>
      <c r="G63" s="2169"/>
      <c r="H63" s="2174"/>
      <c r="I63" s="2176"/>
      <c r="J63" s="2178"/>
      <c r="K63" s="2163"/>
      <c r="L63" s="2163"/>
      <c r="M63" s="2163"/>
      <c r="N63" s="2165"/>
      <c r="O63" s="2163"/>
      <c r="P63" s="2163"/>
      <c r="Q63" s="2163"/>
      <c r="R63" s="2168"/>
      <c r="S63" s="2163"/>
      <c r="T63" s="1935"/>
      <c r="U63" s="1935"/>
      <c r="V63" s="1937"/>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c r="A64" s="328"/>
      <c r="C64" s="327"/>
      <c r="D64" s="2161"/>
      <c r="E64" s="2169"/>
      <c r="F64" s="2172"/>
      <c r="G64" s="2169"/>
      <c r="H64" s="2175"/>
      <c r="I64" s="2177"/>
      <c r="J64" s="2179"/>
      <c r="K64" s="2164"/>
      <c r="L64" s="2164"/>
      <c r="M64" s="2164"/>
      <c r="N64" s="2166"/>
      <c r="O64" s="2164"/>
      <c r="P64" s="2164"/>
      <c r="Q64" s="2164"/>
      <c r="R64" s="2167"/>
      <c r="S64" s="2164"/>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c r="A65" s="328"/>
      <c r="C65" s="327"/>
      <c r="D65" s="2162"/>
      <c r="E65" s="2170"/>
      <c r="F65" s="2172"/>
      <c r="G65" s="2170"/>
      <c r="H65" s="2175"/>
      <c r="I65" s="2177"/>
      <c r="J65" s="2180"/>
      <c r="K65" s="2164"/>
      <c r="L65" s="2164"/>
      <c r="M65" s="2164"/>
      <c r="N65" s="2167"/>
      <c r="O65" s="2164"/>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c r="A66" s="328"/>
      <c r="C66" s="216"/>
      <c r="D66" s="2162"/>
      <c r="E66" s="2170"/>
      <c r="F66" s="2172"/>
      <c r="G66" s="2170"/>
      <c r="H66" s="2175"/>
      <c r="I66" s="2177"/>
      <c r="J66" s="2180"/>
      <c r="K66" s="2164"/>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c r="A67" s="328"/>
      <c r="C67" s="327"/>
      <c r="D67" s="2162"/>
      <c r="E67" s="2170"/>
      <c r="F67" s="2173"/>
      <c r="G67" s="2170"/>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200" t="s">
        <v>215</v>
      </c>
      <c r="F69" s="2200"/>
      <c r="G69" s="2200"/>
      <c r="H69" s="2200"/>
      <c r="I69" s="2200"/>
      <c r="J69" s="2200"/>
      <c r="K69" s="2200"/>
      <c r="L69" s="2200"/>
      <c r="M69" s="2200"/>
      <c r="N69" s="2200"/>
      <c r="O69" s="2200"/>
      <c r="P69" s="2200"/>
      <c r="Q69" s="2200"/>
      <c r="R69" s="2200"/>
      <c r="S69" s="2200"/>
      <c r="T69" s="2200"/>
      <c r="U69" s="2200"/>
      <c r="V69" s="2200"/>
      <c r="W69" s="2200"/>
      <c r="AR69" s="111">
        <v>0</v>
      </c>
    </row>
    <row customHeight="1" ht="36.75">
      <c r="E70" s="2198" t="s">
        <v>216</v>
      </c>
      <c r="F70" s="2198"/>
      <c r="G70" s="2199"/>
      <c r="H70" s="2199"/>
      <c r="I70" s="2199"/>
      <c r="J70" s="2199"/>
      <c r="K70" s="2199"/>
      <c r="L70" s="2199"/>
      <c r="M70" s="2199"/>
      <c r="N70" s="2199"/>
      <c r="O70" s="2199"/>
      <c r="P70" s="2199"/>
      <c r="Q70" s="2199"/>
      <c r="R70" s="2199"/>
      <c r="S70" s="2199"/>
      <c r="T70" s="2199"/>
      <c r="U70" s="2199"/>
      <c r="V70" s="2199"/>
      <c r="W70" s="2199"/>
      <c r="AR70" s="111">
        <v>0</v>
      </c>
    </row>
    <row customHeight="1" ht="28.5">
      <c r="E71" s="2198" t="s">
        <v>217</v>
      </c>
      <c r="F71" s="2198"/>
      <c r="G71" s="2199"/>
      <c r="H71" s="2199"/>
      <c r="I71" s="2199"/>
      <c r="J71" s="2199"/>
      <c r="K71" s="2199"/>
      <c r="L71" s="2199"/>
      <c r="M71" s="2199"/>
      <c r="N71" s="2199"/>
      <c r="O71" s="2199"/>
      <c r="P71" s="2199"/>
      <c r="Q71" s="2199"/>
      <c r="R71" s="2199"/>
      <c r="S71" s="2199"/>
      <c r="T71" s="2199"/>
      <c r="U71" s="2199"/>
      <c r="V71" s="2199"/>
      <c r="W71" s="2199"/>
      <c r="AR71" s="111">
        <v>0</v>
      </c>
    </row>
    <row customHeight="1" ht="27">
      <c r="E72" s="2198" t="s">
        <v>218</v>
      </c>
      <c r="F72" s="2198"/>
      <c r="G72" s="2199"/>
      <c r="H72" s="2199"/>
      <c r="I72" s="2199"/>
      <c r="J72" s="2199"/>
      <c r="K72" s="2199"/>
      <c r="L72" s="2199"/>
      <c r="M72" s="2199"/>
      <c r="N72" s="2199"/>
      <c r="O72" s="2199"/>
      <c r="P72" s="2199"/>
      <c r="Q72" s="2199"/>
      <c r="R72" s="2199"/>
      <c r="S72" s="2199"/>
      <c r="T72" s="2199"/>
      <c r="U72" s="2199"/>
      <c r="V72" s="2199"/>
      <c r="W72" s="2199"/>
      <c r="AR72" s="111">
        <v>0</v>
      </c>
    </row>
    <row customHeight="1" ht="17.25">
      <c r="E73" s="2198" t="s">
        <v>219</v>
      </c>
      <c r="F73" s="2198"/>
      <c r="G73" s="2199"/>
      <c r="H73" s="2199"/>
      <c r="I73" s="2199"/>
      <c r="J73" s="2199"/>
      <c r="K73" s="2199"/>
      <c r="L73" s="2199"/>
      <c r="M73" s="2199"/>
      <c r="N73" s="2199"/>
      <c r="O73" s="2199"/>
      <c r="P73" s="2199"/>
      <c r="Q73" s="2199"/>
      <c r="R73" s="2199"/>
      <c r="S73" s="2199"/>
      <c r="T73" s="2199"/>
      <c r="U73" s="2199"/>
      <c r="V73" s="2199"/>
      <c r="W73" s="2199"/>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200" t="s">
        <v>220</v>
      </c>
      <c r="F75" s="2200"/>
      <c r="G75" s="2200"/>
      <c r="H75" s="2200"/>
      <c r="I75" s="2200"/>
      <c r="J75" s="2200"/>
      <c r="K75" s="2200"/>
      <c r="L75" s="2200"/>
      <c r="M75" s="2200"/>
      <c r="N75" s="2200"/>
      <c r="O75" s="2200"/>
      <c r="P75" s="2200"/>
      <c r="Q75" s="2200"/>
      <c r="R75" s="2200"/>
      <c r="S75" s="2200"/>
      <c r="T75" s="2200"/>
      <c r="U75" s="2200"/>
      <c r="V75" s="2200"/>
      <c r="W75" s="2200"/>
      <c r="AR75" s="111">
        <v>0</v>
      </c>
    </row>
    <row customHeight="1" ht="17.25">
      <c r="E76" s="2198" t="s">
        <v>221</v>
      </c>
      <c r="F76" s="2198"/>
      <c r="G76" s="2199"/>
      <c r="H76" s="2199"/>
      <c r="I76" s="2199"/>
      <c r="J76" s="2199"/>
      <c r="K76" s="2199"/>
      <c r="L76" s="2199"/>
      <c r="M76" s="2199"/>
      <c r="N76" s="2199"/>
      <c r="O76" s="2199"/>
      <c r="P76" s="2199"/>
      <c r="Q76" s="2199"/>
      <c r="R76" s="2199"/>
      <c r="S76" s="2199"/>
      <c r="T76" s="2199"/>
      <c r="U76" s="2199"/>
      <c r="V76" s="2199"/>
      <c r="W76" s="2199"/>
      <c r="AR76" s="111">
        <v>0</v>
      </c>
    </row>
    <row customHeight="1" ht="17.25">
      <c r="E77" s="2198" t="s">
        <v>222</v>
      </c>
      <c r="F77" s="2198"/>
      <c r="G77" s="2199"/>
      <c r="H77" s="2199"/>
      <c r="I77" s="2199"/>
      <c r="J77" s="2199"/>
      <c r="K77" s="2199"/>
      <c r="L77" s="2199"/>
      <c r="M77" s="2199"/>
      <c r="N77" s="2199"/>
      <c r="O77" s="2199"/>
      <c r="P77" s="2199"/>
      <c r="Q77" s="2199"/>
      <c r="R77" s="2199"/>
      <c r="S77" s="2199"/>
      <c r="T77" s="2199"/>
      <c r="U77" s="2199"/>
      <c r="V77" s="2199"/>
      <c r="W77" s="2199"/>
      <c r="AR77" s="111">
        <v>0</v>
      </c>
    </row>
    <row s="1857" customFormat="1" customHeight="1" ht="11.25">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c r="A79" s="328"/>
      <c r="C79" s="216"/>
      <c r="D79" s="2161">
        <v>1</v>
      </c>
      <c r="E79" s="2169" t="s">
        <v>223</v>
      </c>
      <c r="F79" s="2171" t="s">
        <v>19</v>
      </c>
      <c r="G79" s="2169"/>
      <c r="H79" s="2174"/>
      <c r="I79" s="2176"/>
      <c r="J79" s="2178"/>
      <c r="K79" s="2163"/>
      <c r="L79" s="2163"/>
      <c r="M79" s="2163"/>
      <c r="N79" s="2165"/>
      <c r="O79" s="2163"/>
      <c r="P79" s="2163"/>
      <c r="Q79" s="2163"/>
      <c r="R79" s="2168"/>
      <c r="S79" s="2163"/>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c r="A80" s="328"/>
      <c r="C80" s="327"/>
      <c r="D80" s="2161"/>
      <c r="E80" s="2169"/>
      <c r="F80" s="2172"/>
      <c r="G80" s="2169"/>
      <c r="H80" s="2175"/>
      <c r="I80" s="2177"/>
      <c r="J80" s="2179"/>
      <c r="K80" s="2164"/>
      <c r="L80" s="2164"/>
      <c r="M80" s="2164"/>
      <c r="N80" s="2166"/>
      <c r="O80" s="2164"/>
      <c r="P80" s="2164"/>
      <c r="Q80" s="2164"/>
      <c r="R80" s="2167"/>
      <c r="S80" s="2164"/>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c r="A81" s="328"/>
      <c r="C81" s="216"/>
      <c r="D81" s="2161"/>
      <c r="E81" s="2169"/>
      <c r="F81" s="2172"/>
      <c r="G81" s="2169"/>
      <c r="H81" s="2175"/>
      <c r="I81" s="2177"/>
      <c r="J81" s="2180"/>
      <c r="K81" s="2164"/>
      <c r="L81" s="2164"/>
      <c r="M81" s="2164"/>
      <c r="N81" s="2167"/>
      <c r="O81" s="2164"/>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c r="A82" s="328"/>
      <c r="C82" s="327"/>
      <c r="D82" s="2161"/>
      <c r="E82" s="2169"/>
      <c r="F82" s="2172"/>
      <c r="G82" s="2169"/>
      <c r="H82" s="2175"/>
      <c r="I82" s="2177"/>
      <c r="J82" s="2180"/>
      <c r="K82" s="2164"/>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c r="A83" s="328"/>
      <c r="C83" s="327"/>
      <c r="D83" s="2162"/>
      <c r="E83" s="2170"/>
      <c r="F83" s="2173"/>
      <c r="G83" s="2170"/>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c r="A84" s="328"/>
      <c r="C84" s="216"/>
      <c r="D84" s="2161">
        <v>2</v>
      </c>
      <c r="E84" s="2169" t="s">
        <v>228</v>
      </c>
      <c r="F84" s="2171" t="s">
        <v>19</v>
      </c>
      <c r="G84" s="2169"/>
      <c r="H84" s="2174"/>
      <c r="I84" s="2176"/>
      <c r="J84" s="2178"/>
      <c r="K84" s="2163"/>
      <c r="L84" s="2163"/>
      <c r="M84" s="2163"/>
      <c r="N84" s="2165"/>
      <c r="O84" s="2163"/>
      <c r="P84" s="2163"/>
      <c r="Q84" s="2163"/>
      <c r="R84" s="2168"/>
      <c r="S84" s="2163"/>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c r="A85" s="328"/>
      <c r="C85" s="327"/>
      <c r="D85" s="2161"/>
      <c r="E85" s="2169"/>
      <c r="F85" s="2172"/>
      <c r="G85" s="2169"/>
      <c r="H85" s="2175"/>
      <c r="I85" s="2177"/>
      <c r="J85" s="2179"/>
      <c r="K85" s="2164"/>
      <c r="L85" s="2164"/>
      <c r="M85" s="2164"/>
      <c r="N85" s="2166"/>
      <c r="O85" s="2164"/>
      <c r="P85" s="2164"/>
      <c r="Q85" s="2164"/>
      <c r="R85" s="2167"/>
      <c r="S85" s="2164"/>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c r="A86" s="328"/>
      <c r="C86" s="327"/>
      <c r="D86" s="2162"/>
      <c r="E86" s="2170"/>
      <c r="F86" s="2172"/>
      <c r="G86" s="2170"/>
      <c r="H86" s="2175"/>
      <c r="I86" s="2177"/>
      <c r="J86" s="2180"/>
      <c r="K86" s="2164"/>
      <c r="L86" s="2164"/>
      <c r="M86" s="2164"/>
      <c r="N86" s="2167"/>
      <c r="O86" s="2164"/>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c r="A87" s="328"/>
      <c r="C87" s="327"/>
      <c r="D87" s="2162"/>
      <c r="E87" s="2170"/>
      <c r="F87" s="2172"/>
      <c r="G87" s="2170"/>
      <c r="H87" s="2175"/>
      <c r="I87" s="2177"/>
      <c r="J87" s="2180"/>
      <c r="K87" s="2164"/>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c r="A88" s="328"/>
      <c r="C88" s="327"/>
      <c r="D88" s="2162"/>
      <c r="E88" s="2170"/>
      <c r="F88" s="2173"/>
      <c r="G88" s="2170"/>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c r="A89" s="328"/>
      <c r="C89" s="216"/>
      <c r="D89" s="2161">
        <v>3</v>
      </c>
      <c r="E89" s="2169" t="s">
        <v>233</v>
      </c>
      <c r="F89" s="2171" t="s">
        <v>19</v>
      </c>
      <c r="G89" s="2169"/>
      <c r="H89" s="2174"/>
      <c r="I89" s="2176"/>
      <c r="J89" s="2178"/>
      <c r="K89" s="2163"/>
      <c r="L89" s="2163"/>
      <c r="M89" s="2163"/>
      <c r="N89" s="2165"/>
      <c r="O89" s="2163"/>
      <c r="P89" s="2163"/>
      <c r="Q89" s="2163"/>
      <c r="R89" s="2168"/>
      <c r="S89" s="2163"/>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c r="A90" s="328"/>
      <c r="C90" s="327"/>
      <c r="D90" s="2161"/>
      <c r="E90" s="2169"/>
      <c r="F90" s="2172"/>
      <c r="G90" s="2169"/>
      <c r="H90" s="2175"/>
      <c r="I90" s="2177"/>
      <c r="J90" s="2179"/>
      <c r="K90" s="2164"/>
      <c r="L90" s="2164"/>
      <c r="M90" s="2164"/>
      <c r="N90" s="2166"/>
      <c r="O90" s="2164"/>
      <c r="P90" s="2164"/>
      <c r="Q90" s="2164"/>
      <c r="R90" s="2167"/>
      <c r="S90" s="2164"/>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c r="A91" s="328"/>
      <c r="C91" s="327"/>
      <c r="D91" s="2162"/>
      <c r="E91" s="2170"/>
      <c r="F91" s="2172"/>
      <c r="G91" s="2170"/>
      <c r="H91" s="2175"/>
      <c r="I91" s="2177"/>
      <c r="J91" s="2180"/>
      <c r="K91" s="2164"/>
      <c r="L91" s="2164"/>
      <c r="M91" s="2164"/>
      <c r="N91" s="2167"/>
      <c r="O91" s="2164"/>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c r="A92" s="328"/>
      <c r="C92" s="327"/>
      <c r="D92" s="2162"/>
      <c r="E92" s="2170"/>
      <c r="F92" s="2172"/>
      <c r="G92" s="2170"/>
      <c r="H92" s="2175"/>
      <c r="I92" s="2177"/>
      <c r="J92" s="2180"/>
      <c r="K92" s="2164"/>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c r="A93" s="328"/>
      <c r="C93" s="327"/>
      <c r="D93" s="2162"/>
      <c r="E93" s="2170"/>
      <c r="F93" s="2173"/>
      <c r="G93" s="2170"/>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c r="A94" s="328"/>
      <c r="C94" s="216"/>
      <c r="D94" s="2161">
        <v>4</v>
      </c>
      <c r="E94" s="2169" t="s">
        <v>238</v>
      </c>
      <c r="F94" s="2171" t="s">
        <v>19</v>
      </c>
      <c r="G94" s="2169"/>
      <c r="H94" s="2174"/>
      <c r="I94" s="2176"/>
      <c r="J94" s="2178"/>
      <c r="K94" s="2163"/>
      <c r="L94" s="2163"/>
      <c r="M94" s="2163"/>
      <c r="N94" s="2165"/>
      <c r="O94" s="2163"/>
      <c r="P94" s="2163"/>
      <c r="Q94" s="2163"/>
      <c r="R94" s="2168"/>
      <c r="S94" s="2163"/>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c r="A95" s="328"/>
      <c r="C95" s="327"/>
      <c r="D95" s="2161"/>
      <c r="E95" s="2169"/>
      <c r="F95" s="2172"/>
      <c r="G95" s="2169"/>
      <c r="H95" s="2175"/>
      <c r="I95" s="2177"/>
      <c r="J95" s="2179"/>
      <c r="K95" s="2164"/>
      <c r="L95" s="2164"/>
      <c r="M95" s="2164"/>
      <c r="N95" s="2166"/>
      <c r="O95" s="2164"/>
      <c r="P95" s="2164"/>
      <c r="Q95" s="2164"/>
      <c r="R95" s="2167"/>
      <c r="S95" s="2164"/>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c r="A96" s="328"/>
      <c r="C96" s="327"/>
      <c r="D96" s="2162"/>
      <c r="E96" s="2170"/>
      <c r="F96" s="2172"/>
      <c r="G96" s="2170"/>
      <c r="H96" s="2175"/>
      <c r="I96" s="2177"/>
      <c r="J96" s="2180"/>
      <c r="K96" s="2164"/>
      <c r="L96" s="2164"/>
      <c r="M96" s="2164"/>
      <c r="N96" s="2167"/>
      <c r="O96" s="2164"/>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c r="A97" s="328"/>
      <c r="C97" s="327"/>
      <c r="D97" s="2162"/>
      <c r="E97" s="2170"/>
      <c r="F97" s="2172"/>
      <c r="G97" s="2170"/>
      <c r="H97" s="2175"/>
      <c r="I97" s="2177"/>
      <c r="J97" s="2180"/>
      <c r="K97" s="2164"/>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c r="A98" s="328"/>
      <c r="C98" s="327"/>
      <c r="D98" s="2162"/>
      <c r="E98" s="2170"/>
      <c r="F98" s="2173"/>
      <c r="G98" s="2170"/>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c r="A99" s="328"/>
      <c r="C99" s="216"/>
      <c r="D99" s="2161">
        <v>5</v>
      </c>
      <c r="E99" s="2169" t="s">
        <v>243</v>
      </c>
      <c r="F99" s="2171" t="s">
        <v>19</v>
      </c>
      <c r="G99" s="2169"/>
      <c r="H99" s="2174"/>
      <c r="I99" s="2176"/>
      <c r="J99" s="2178"/>
      <c r="K99" s="2163"/>
      <c r="L99" s="2163"/>
      <c r="M99" s="2163"/>
      <c r="N99" s="2165"/>
      <c r="O99" s="2163"/>
      <c r="P99" s="2163"/>
      <c r="Q99" s="2163"/>
      <c r="R99" s="2168"/>
      <c r="S99" s="2163"/>
      <c r="T99" s="1947"/>
      <c r="U99" s="1947"/>
      <c r="V99" s="1949"/>
      <c r="W99" s="1303"/>
      <c r="X99" s="1274"/>
      <c r="Y99" s="1274"/>
      <c r="Z99" s="1274"/>
      <c r="AA99" s="1274"/>
      <c r="AB99" s="1274"/>
      <c r="AC99" s="1274" t="s">
        <v>244</v>
      </c>
      <c r="AD99" s="1274" t="s">
        <v>245</v>
      </c>
      <c r="AE99" s="1274" t="s">
        <v>246</v>
      </c>
      <c r="AF99" s="1274" t="s">
        <v>247</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c r="A100" s="328"/>
      <c r="C100" s="327"/>
      <c r="D100" s="2161"/>
      <c r="E100" s="2169"/>
      <c r="F100" s="2172"/>
      <c r="G100" s="2169"/>
      <c r="H100" s="2175"/>
      <c r="I100" s="2177"/>
      <c r="J100" s="2179"/>
      <c r="K100" s="2164"/>
      <c r="L100" s="2164"/>
      <c r="M100" s="2164"/>
      <c r="N100" s="2166"/>
      <c r="O100" s="2164"/>
      <c r="P100" s="2164"/>
      <c r="Q100" s="2164"/>
      <c r="R100" s="2167"/>
      <c r="S100" s="2164"/>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c r="A101" s="328"/>
      <c r="C101" s="327"/>
      <c r="D101" s="2162"/>
      <c r="E101" s="2170"/>
      <c r="F101" s="2172"/>
      <c r="G101" s="2170"/>
      <c r="H101" s="2175"/>
      <c r="I101" s="2177"/>
      <c r="J101" s="2180"/>
      <c r="K101" s="2164"/>
      <c r="L101" s="2164"/>
      <c r="M101" s="2164"/>
      <c r="N101" s="2167"/>
      <c r="O101" s="2164"/>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c r="A102" s="328"/>
      <c r="C102" s="327"/>
      <c r="D102" s="2162"/>
      <c r="E102" s="2170"/>
      <c r="F102" s="2172"/>
      <c r="G102" s="2170"/>
      <c r="H102" s="2175"/>
      <c r="I102" s="2177"/>
      <c r="J102" s="2180"/>
      <c r="K102" s="2164"/>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c r="A103" s="328"/>
      <c r="C103" s="327"/>
      <c r="D103" s="2162"/>
      <c r="E103" s="2170"/>
      <c r="F103" s="2173"/>
      <c r="G103" s="2170"/>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c r="A105" s="328"/>
      <c r="C105" s="216"/>
      <c r="D105" s="2161">
        <v>1</v>
      </c>
      <c r="E105" s="2169" t="s">
        <v>248</v>
      </c>
      <c r="F105" s="2171" t="s">
        <v>19</v>
      </c>
      <c r="G105" s="2169"/>
      <c r="H105" s="2174"/>
      <c r="I105" s="2176"/>
      <c r="J105" s="2178"/>
      <c r="K105" s="2163"/>
      <c r="L105" s="2163"/>
      <c r="M105" s="2163"/>
      <c r="N105" s="2165"/>
      <c r="O105" s="2163"/>
      <c r="P105" s="2163"/>
      <c r="Q105" s="2163"/>
      <c r="R105" s="2168"/>
      <c r="S105" s="2163"/>
      <c r="T105" s="1477"/>
      <c r="U105" s="1477"/>
      <c r="V105" s="1479"/>
      <c r="W105" s="1303"/>
      <c r="Y105" s="1274"/>
      <c r="Z105" s="1274"/>
      <c r="AA105" s="1274"/>
      <c r="AB105" s="1274"/>
      <c r="AC105" s="1274" t="s">
        <v>249</v>
      </c>
      <c r="AD105" s="1274" t="s">
        <v>250</v>
      </c>
      <c r="AE105" s="1274" t="s">
        <v>251</v>
      </c>
      <c r="AF105" s="1274" t="s">
        <v>252</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c r="A106" s="328"/>
      <c r="C106" s="327"/>
      <c r="D106" s="2161"/>
      <c r="E106" s="2169"/>
      <c r="F106" s="2172"/>
      <c r="G106" s="2169"/>
      <c r="H106" s="2175"/>
      <c r="I106" s="2177"/>
      <c r="J106" s="2179"/>
      <c r="K106" s="2164"/>
      <c r="L106" s="2164"/>
      <c r="M106" s="2164"/>
      <c r="N106" s="2166"/>
      <c r="O106" s="2164"/>
      <c r="P106" s="2164"/>
      <c r="Q106" s="2164"/>
      <c r="R106" s="2167"/>
      <c r="S106" s="2164"/>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c r="A107" s="328"/>
      <c r="C107" s="216"/>
      <c r="D107" s="2161"/>
      <c r="E107" s="2169"/>
      <c r="F107" s="2172"/>
      <c r="G107" s="2169"/>
      <c r="H107" s="2175"/>
      <c r="I107" s="2177"/>
      <c r="J107" s="2180"/>
      <c r="K107" s="2164"/>
      <c r="L107" s="2164"/>
      <c r="M107" s="2164"/>
      <c r="N107" s="2167"/>
      <c r="O107" s="2164"/>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c r="A108" s="328"/>
      <c r="C108" s="327"/>
      <c r="D108" s="2161"/>
      <c r="E108" s="2169"/>
      <c r="F108" s="2172"/>
      <c r="G108" s="2169"/>
      <c r="H108" s="2175"/>
      <c r="I108" s="2177"/>
      <c r="J108" s="2180"/>
      <c r="K108" s="2164"/>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c r="A109" s="328"/>
      <c r="C109" s="327"/>
      <c r="D109" s="2162"/>
      <c r="E109" s="2170"/>
      <c r="F109" s="2173"/>
      <c r="G109" s="2170"/>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c r="A110" s="328"/>
      <c r="C110" s="216"/>
      <c r="D110" s="2161">
        <v>2</v>
      </c>
      <c r="E110" s="2169" t="s">
        <v>253</v>
      </c>
      <c r="F110" s="2171" t="s">
        <v>19</v>
      </c>
      <c r="G110" s="2169"/>
      <c r="H110" s="2174"/>
      <c r="I110" s="2176"/>
      <c r="J110" s="2178"/>
      <c r="K110" s="2163"/>
      <c r="L110" s="2163"/>
      <c r="M110" s="2163"/>
      <c r="N110" s="2165"/>
      <c r="O110" s="2163"/>
      <c r="P110" s="2163"/>
      <c r="Q110" s="2163"/>
      <c r="R110" s="2168"/>
      <c r="S110" s="2163"/>
      <c r="T110" s="1477"/>
      <c r="U110" s="1477"/>
      <c r="V110" s="1479"/>
      <c r="W110" s="1303"/>
      <c r="X110" s="1274"/>
      <c r="Y110" s="1274"/>
      <c r="Z110" s="1274"/>
      <c r="AA110" s="1274"/>
      <c r="AB110" s="1274"/>
      <c r="AC110" s="1274" t="s">
        <v>254</v>
      </c>
      <c r="AD110" s="1274" t="s">
        <v>255</v>
      </c>
      <c r="AE110" s="1274" t="s">
        <v>256</v>
      </c>
      <c r="AF110" s="1274" t="s">
        <v>257</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c r="A111" s="328"/>
      <c r="C111" s="327"/>
      <c r="D111" s="2161"/>
      <c r="E111" s="2169"/>
      <c r="F111" s="2172"/>
      <c r="G111" s="2169"/>
      <c r="H111" s="2175"/>
      <c r="I111" s="2177"/>
      <c r="J111" s="2179"/>
      <c r="K111" s="2164"/>
      <c r="L111" s="2164"/>
      <c r="M111" s="2164"/>
      <c r="N111" s="2166"/>
      <c r="O111" s="2164"/>
      <c r="P111" s="2164"/>
      <c r="Q111" s="2164"/>
      <c r="R111" s="2167"/>
      <c r="S111" s="2164"/>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c r="A112" s="328"/>
      <c r="C112" s="327"/>
      <c r="D112" s="2162"/>
      <c r="E112" s="2170"/>
      <c r="F112" s="2172"/>
      <c r="G112" s="2170"/>
      <c r="H112" s="2175"/>
      <c r="I112" s="2177"/>
      <c r="J112" s="2180"/>
      <c r="K112" s="2164"/>
      <c r="L112" s="2164"/>
      <c r="M112" s="2164"/>
      <c r="N112" s="2167"/>
      <c r="O112" s="2164"/>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c r="A113" s="328"/>
      <c r="C113" s="327"/>
      <c r="D113" s="2162"/>
      <c r="E113" s="2170"/>
      <c r="F113" s="2172"/>
      <c r="G113" s="2170"/>
      <c r="H113" s="2175"/>
      <c r="I113" s="2177"/>
      <c r="J113" s="2180"/>
      <c r="K113" s="2164"/>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c r="A114" s="328"/>
      <c r="C114" s="327"/>
      <c r="D114" s="2162"/>
      <c r="E114" s="2170"/>
      <c r="F114" s="2173"/>
      <c r="G114" s="2170"/>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c r="A115" s="328"/>
      <c r="C115" s="216"/>
      <c r="D115" s="2161">
        <v>3</v>
      </c>
      <c r="E115" s="2169" t="s">
        <v>258</v>
      </c>
      <c r="F115" s="2171" t="s">
        <v>19</v>
      </c>
      <c r="G115" s="2169"/>
      <c r="H115" s="2174"/>
      <c r="I115" s="2176"/>
      <c r="J115" s="2178"/>
      <c r="K115" s="2163"/>
      <c r="L115" s="2163"/>
      <c r="M115" s="2163"/>
      <c r="N115" s="2165"/>
      <c r="O115" s="2163"/>
      <c r="P115" s="2163"/>
      <c r="Q115" s="2163"/>
      <c r="R115" s="2168"/>
      <c r="S115" s="2163"/>
      <c r="T115" s="1947"/>
      <c r="U115" s="1947"/>
      <c r="V115" s="1949"/>
      <c r="W115" s="1303"/>
      <c r="X115" s="1274"/>
      <c r="Y115" s="1274"/>
      <c r="Z115" s="1274"/>
      <c r="AA115" s="1274"/>
      <c r="AB115" s="1274"/>
      <c r="AC115" s="1274" t="s">
        <v>259</v>
      </c>
      <c r="AD115" s="1274" t="s">
        <v>260</v>
      </c>
      <c r="AE115" s="1274" t="s">
        <v>261</v>
      </c>
      <c r="AF115" s="1274" t="s">
        <v>262</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c r="A116" s="328"/>
      <c r="C116" s="327"/>
      <c r="D116" s="2161"/>
      <c r="E116" s="2169"/>
      <c r="F116" s="2172"/>
      <c r="G116" s="2169"/>
      <c r="H116" s="2175"/>
      <c r="I116" s="2177"/>
      <c r="J116" s="2179"/>
      <c r="K116" s="2164"/>
      <c r="L116" s="2164"/>
      <c r="M116" s="2164"/>
      <c r="N116" s="2166"/>
      <c r="O116" s="2164"/>
      <c r="P116" s="2164"/>
      <c r="Q116" s="2164"/>
      <c r="R116" s="2167"/>
      <c r="S116" s="2164"/>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c r="A117" s="328"/>
      <c r="C117" s="327"/>
      <c r="D117" s="2162"/>
      <c r="E117" s="2170"/>
      <c r="F117" s="2172"/>
      <c r="G117" s="2170"/>
      <c r="H117" s="2175"/>
      <c r="I117" s="2177"/>
      <c r="J117" s="2180"/>
      <c r="K117" s="2164"/>
      <c r="L117" s="2164"/>
      <c r="M117" s="2164"/>
      <c r="N117" s="2167"/>
      <c r="O117" s="2164"/>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c r="A118" s="328"/>
      <c r="C118" s="327"/>
      <c r="D118" s="2162"/>
      <c r="E118" s="2170"/>
      <c r="F118" s="2172"/>
      <c r="G118" s="2170"/>
      <c r="H118" s="2175"/>
      <c r="I118" s="2177"/>
      <c r="J118" s="2180"/>
      <c r="K118" s="2164"/>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c r="A119" s="328"/>
      <c r="C119" s="327"/>
      <c r="D119" s="2162"/>
      <c r="E119" s="2170"/>
      <c r="F119" s="2173"/>
      <c r="G119" s="2170"/>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c r="A121" s="328"/>
      <c r="C121" s="216"/>
      <c r="D121" s="2161">
        <v>1</v>
      </c>
      <c r="E121" s="2169" t="s">
        <v>263</v>
      </c>
      <c r="F121" s="2171" t="s">
        <v>19</v>
      </c>
      <c r="G121" s="2169"/>
      <c r="H121" s="2174"/>
      <c r="I121" s="2176"/>
      <c r="J121" s="2178"/>
      <c r="K121" s="2163"/>
      <c r="L121" s="2163"/>
      <c r="M121" s="2163"/>
      <c r="N121" s="2165"/>
      <c r="O121" s="2163"/>
      <c r="P121" s="2163"/>
      <c r="Q121" s="2163"/>
      <c r="R121" s="2168"/>
      <c r="S121" s="2163"/>
      <c r="T121" s="1477"/>
      <c r="U121" s="1477"/>
      <c r="V121" s="1479"/>
      <c r="W121" s="1303"/>
      <c r="Y121" s="1274"/>
      <c r="Z121" s="1274"/>
      <c r="AA121" s="1274"/>
      <c r="AB121" s="1274"/>
      <c r="AC121" s="1274" t="s">
        <v>264</v>
      </c>
      <c r="AD121" s="1274" t="s">
        <v>265</v>
      </c>
      <c r="AE121" s="1274" t="s">
        <v>266</v>
      </c>
      <c r="AF121" s="1274" t="s">
        <v>267</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c r="A122" s="328"/>
      <c r="C122" s="327"/>
      <c r="D122" s="2161"/>
      <c r="E122" s="2169"/>
      <c r="F122" s="2172"/>
      <c r="G122" s="2169"/>
      <c r="H122" s="2175"/>
      <c r="I122" s="2177"/>
      <c r="J122" s="2179"/>
      <c r="K122" s="2164"/>
      <c r="L122" s="2164"/>
      <c r="M122" s="2164"/>
      <c r="N122" s="2166"/>
      <c r="O122" s="2164"/>
      <c r="P122" s="2164"/>
      <c r="Q122" s="2164"/>
      <c r="R122" s="2167"/>
      <c r="S122" s="2164"/>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c r="A123" s="328"/>
      <c r="C123" s="216"/>
      <c r="D123" s="2161"/>
      <c r="E123" s="2169"/>
      <c r="F123" s="2172"/>
      <c r="G123" s="2169"/>
      <c r="H123" s="2175"/>
      <c r="I123" s="2177"/>
      <c r="J123" s="2180"/>
      <c r="K123" s="2164"/>
      <c r="L123" s="2164"/>
      <c r="M123" s="2164"/>
      <c r="N123" s="2167"/>
      <c r="O123" s="2164"/>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c r="A124" s="328"/>
      <c r="C124" s="327"/>
      <c r="D124" s="2161"/>
      <c r="E124" s="2169"/>
      <c r="F124" s="2172"/>
      <c r="G124" s="2169"/>
      <c r="H124" s="2175"/>
      <c r="I124" s="2177"/>
      <c r="J124" s="2180"/>
      <c r="K124" s="2164"/>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c r="A125" s="328"/>
      <c r="C125" s="327"/>
      <c r="D125" s="2162"/>
      <c r="E125" s="2170"/>
      <c r="F125" s="2173"/>
      <c r="G125" s="2170"/>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c r="A126" s="328"/>
      <c r="C126" s="216"/>
      <c r="D126" s="2161">
        <v>2</v>
      </c>
      <c r="E126" s="2169" t="s">
        <v>268</v>
      </c>
      <c r="F126" s="2171" t="s">
        <v>19</v>
      </c>
      <c r="G126" s="2169"/>
      <c r="H126" s="2174"/>
      <c r="I126" s="2176"/>
      <c r="J126" s="2178"/>
      <c r="K126" s="2163"/>
      <c r="L126" s="2163"/>
      <c r="M126" s="2163"/>
      <c r="N126" s="2165"/>
      <c r="O126" s="2163"/>
      <c r="P126" s="2163"/>
      <c r="Q126" s="2163"/>
      <c r="R126" s="2168"/>
      <c r="S126" s="2163"/>
      <c r="T126" s="1477"/>
      <c r="U126" s="1477"/>
      <c r="V126" s="1479"/>
      <c r="W126" s="1303"/>
      <c r="X126" s="1274"/>
      <c r="Y126" s="1274"/>
      <c r="Z126" s="1274"/>
      <c r="AA126" s="1274"/>
      <c r="AB126" s="1274"/>
      <c r="AC126" s="1274" t="s">
        <v>269</v>
      </c>
      <c r="AD126" s="1274" t="s">
        <v>270</v>
      </c>
      <c r="AE126" s="1274" t="s">
        <v>271</v>
      </c>
      <c r="AF126" s="1274" t="s">
        <v>272</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c r="A127" s="328"/>
      <c r="C127" s="327"/>
      <c r="D127" s="2161"/>
      <c r="E127" s="2169"/>
      <c r="F127" s="2172"/>
      <c r="G127" s="2169"/>
      <c r="H127" s="2175"/>
      <c r="I127" s="2177"/>
      <c r="J127" s="2179"/>
      <c r="K127" s="2164"/>
      <c r="L127" s="2164"/>
      <c r="M127" s="2164"/>
      <c r="N127" s="2166"/>
      <c r="O127" s="2164"/>
      <c r="P127" s="2164"/>
      <c r="Q127" s="2164"/>
      <c r="R127" s="2167"/>
      <c r="S127" s="2164"/>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c r="A128" s="328"/>
      <c r="C128" s="327"/>
      <c r="D128" s="2162"/>
      <c r="E128" s="2170"/>
      <c r="F128" s="2172"/>
      <c r="G128" s="2170"/>
      <c r="H128" s="2175"/>
      <c r="I128" s="2177"/>
      <c r="J128" s="2180"/>
      <c r="K128" s="2164"/>
      <c r="L128" s="2164"/>
      <c r="M128" s="2164"/>
      <c r="N128" s="2167"/>
      <c r="O128" s="2164"/>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c r="A129" s="328"/>
      <c r="C129" s="327"/>
      <c r="D129" s="2162"/>
      <c r="E129" s="2170"/>
      <c r="F129" s="2172"/>
      <c r="G129" s="2170"/>
      <c r="H129" s="2175"/>
      <c r="I129" s="2177"/>
      <c r="J129" s="2180"/>
      <c r="K129" s="2164"/>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c r="A130" s="328"/>
      <c r="C130" s="327"/>
      <c r="D130" s="2162"/>
      <c r="E130" s="2170"/>
      <c r="F130" s="2173"/>
      <c r="G130" s="2170"/>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c r="A131" s="328"/>
      <c r="C131" s="216"/>
      <c r="D131" s="2161">
        <v>3</v>
      </c>
      <c r="E131" s="2169" t="s">
        <v>273</v>
      </c>
      <c r="F131" s="2171" t="s">
        <v>19</v>
      </c>
      <c r="G131" s="2169"/>
      <c r="H131" s="2174"/>
      <c r="I131" s="2176"/>
      <c r="J131" s="2178"/>
      <c r="K131" s="2163"/>
      <c r="L131" s="2163"/>
      <c r="M131" s="2163"/>
      <c r="N131" s="2165"/>
      <c r="O131" s="2163"/>
      <c r="P131" s="2163"/>
      <c r="Q131" s="2163"/>
      <c r="R131" s="2168"/>
      <c r="S131" s="2163"/>
      <c r="T131" s="1947"/>
      <c r="U131" s="1947"/>
      <c r="V131" s="1949"/>
      <c r="W131" s="1303"/>
      <c r="X131" s="1274"/>
      <c r="Y131" s="1274"/>
      <c r="Z131" s="1274"/>
      <c r="AA131" s="1274"/>
      <c r="AB131" s="1274"/>
      <c r="AC131" s="1274" t="s">
        <v>274</v>
      </c>
      <c r="AD131" s="1274" t="s">
        <v>275</v>
      </c>
      <c r="AE131" s="1274" t="s">
        <v>276</v>
      </c>
      <c r="AF131" s="1274" t="s">
        <v>277</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c r="A132" s="328"/>
      <c r="C132" s="327"/>
      <c r="D132" s="2161"/>
      <c r="E132" s="2169"/>
      <c r="F132" s="2172"/>
      <c r="G132" s="2169"/>
      <c r="H132" s="2175"/>
      <c r="I132" s="2177"/>
      <c r="J132" s="2179"/>
      <c r="K132" s="2164"/>
      <c r="L132" s="2164"/>
      <c r="M132" s="2164"/>
      <c r="N132" s="2166"/>
      <c r="O132" s="2164"/>
      <c r="P132" s="2164"/>
      <c r="Q132" s="2164"/>
      <c r="R132" s="2167"/>
      <c r="S132" s="2164"/>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c r="A133" s="328"/>
      <c r="C133" s="327"/>
      <c r="D133" s="2162"/>
      <c r="E133" s="2170"/>
      <c r="F133" s="2172"/>
      <c r="G133" s="2170"/>
      <c r="H133" s="2175"/>
      <c r="I133" s="2177"/>
      <c r="J133" s="2180"/>
      <c r="K133" s="2164"/>
      <c r="L133" s="2164"/>
      <c r="M133" s="2164"/>
      <c r="N133" s="2167"/>
      <c r="O133" s="2164"/>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c r="A134" s="328"/>
      <c r="C134" s="327"/>
      <c r="D134" s="2162"/>
      <c r="E134" s="2170"/>
      <c r="F134" s="2172"/>
      <c r="G134" s="2170"/>
      <c r="H134" s="2175"/>
      <c r="I134" s="2177"/>
      <c r="J134" s="2180"/>
      <c r="K134" s="2164"/>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c r="A135" s="328"/>
      <c r="C135" s="327"/>
      <c r="D135" s="2162"/>
      <c r="E135" s="2170"/>
      <c r="F135" s="2173"/>
      <c r="G135" s="2170"/>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E7176-2DE4-8E1F-2113-25B5BEEED9D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63" t="s">
        <v>1206</v>
      </c>
      <c r="E5" s="2263"/>
      <c r="F5" s="2263"/>
      <c r="G5" s="2263"/>
      <c r="H5" s="2263"/>
      <c r="I5" s="2263"/>
      <c r="J5" s="2263"/>
      <c r="V5" s="512">
        <v>63</v>
      </c>
    </row>
    <row customHeight="1" ht="15.75">
      <c r="C6" s="183"/>
      <c r="D6" s="2202" t="str">
        <f>IF(org=0,"Не определено",org)</f>
        <v>Общество с ограниченной ответственностью "Сигнал", г. Серов</v>
      </c>
      <c r="E6" s="2202"/>
      <c r="F6" s="2202"/>
      <c r="G6" s="2202"/>
      <c r="H6" s="2202"/>
      <c r="I6" s="2202"/>
      <c r="J6" s="2202"/>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117</v>
      </c>
      <c r="J8" s="759"/>
      <c r="K8" s="424"/>
      <c r="U8" s="682"/>
      <c r="V8" s="765">
        <v>1</v>
      </c>
    </row>
    <row customHeight="1" ht="15.75">
      <c r="C9" s="183"/>
      <c r="D9" s="718"/>
      <c r="E9" s="2393" t="s">
        <v>105</v>
      </c>
      <c r="F9" s="2394"/>
      <c r="G9" s="2421" t="str">
        <f>IF(G8="","",INDEX(DIFFERENTIATION_UNMERGE_VD,MATCH(G8,DIFFERENTIATION_ID_DIFF,0)))</f>
        <v/>
      </c>
      <c r="H9" s="2422"/>
      <c r="I9" s="2421" t="str">
        <f>IF(I8="","",INDEX(DIFFERENTIATION_UNMERGE_VD,MATCH(I8,DIFFERENTIATION_ID_DIFF,0)))</f>
        <v>Водоотведение</v>
      </c>
      <c r="J9" s="2422"/>
      <c r="K9" s="2201" t="s">
        <v>300</v>
      </c>
      <c r="V9" s="512">
        <v>15</v>
      </c>
    </row>
    <row s="1642" customFormat="1" customHeight="1" ht="15.75">
      <c r="A10" s="766"/>
      <c r="C10" s="183"/>
      <c r="D10" s="718"/>
      <c r="E10" s="2393" t="s">
        <v>561</v>
      </c>
      <c r="F10" s="2394"/>
      <c r="G10" s="2421" t="str">
        <f>IF(G8="","",INDEX(DIFFERENTIATION_UNMERGE_AREA,MATCH(G8,DIFFERENTIATION_ID_DIFF,0)))</f>
        <v/>
      </c>
      <c r="H10" s="2422"/>
      <c r="I10" s="2421" t="str">
        <f>IF(I8="","",INDEX(DIFFERENTIATION_UNMERGE_AREA,MATCH(I8,DIFFERENTIATION_ID_DIFF,0)))</f>
        <v>Территория 1</v>
      </c>
      <c r="J10" s="2422"/>
      <c r="K10" s="2225"/>
      <c r="U10" s="682"/>
      <c r="V10" s="765">
        <v>15</v>
      </c>
    </row>
    <row s="1642" customFormat="1" customHeight="1" ht="15.75">
      <c r="A11" s="766"/>
      <c r="C11" s="183"/>
      <c r="D11" s="718"/>
      <c r="E11" s="2393" t="s">
        <v>562</v>
      </c>
      <c r="F11" s="2394"/>
      <c r="G11" s="2421" t="str">
        <f>IF(G8="","",INDEX(DIFFERENTIATION_UNMERGE_SYSTEM,MATCH(G8,DIFFERENTIATION_ID_DIFF,0)))</f>
        <v/>
      </c>
      <c r="H11" s="2422"/>
      <c r="I11" s="2421" t="str">
        <f>IF(I8="","",INDEX(DIFFERENTIATION_UNMERGE_SYSTEM,MATCH(I8,DIFFERENTIATION_ID_DIFF,0)))</f>
        <v>без дифференциации</v>
      </c>
      <c r="J11" s="2422"/>
      <c r="K11" s="2225"/>
      <c r="U11" s="682"/>
      <c r="V11" s="765">
        <v>15</v>
      </c>
    </row>
    <row s="1642" customFormat="1" customHeight="1" ht="15.75">
      <c r="A12" s="766"/>
      <c r="C12" s="183"/>
      <c r="D12" s="2395" t="s">
        <v>299</v>
      </c>
      <c r="E12" s="2396"/>
      <c r="F12" s="2396"/>
      <c r="G12" s="894"/>
      <c r="H12" s="894"/>
      <c r="I12" s="894"/>
      <c r="J12" s="894"/>
      <c r="K12" s="2225"/>
      <c r="U12" s="682"/>
      <c r="V12" s="765">
        <v>15</v>
      </c>
    </row>
    <row customHeight="1" ht="35.699999999999996">
      <c r="C13" s="183"/>
      <c r="D13" s="812" t="s">
        <v>88</v>
      </c>
      <c r="E13" s="814" t="s">
        <v>301</v>
      </c>
      <c r="F13" s="814" t="s">
        <v>563</v>
      </c>
      <c r="G13" s="815" t="s">
        <v>302</v>
      </c>
      <c r="H13" s="814" t="s">
        <v>389</v>
      </c>
      <c r="I13" s="815" t="s">
        <v>302</v>
      </c>
      <c r="J13" s="814" t="s">
        <v>389</v>
      </c>
      <c r="K13" s="2258"/>
      <c r="V13" s="512">
        <v>34</v>
      </c>
    </row>
    <row customHeight="1" ht="15" hidden="1">
      <c r="C14" s="183"/>
      <c r="D14" s="600" t="s">
        <v>109</v>
      </c>
      <c r="E14" s="600" t="s">
        <v>110</v>
      </c>
      <c r="F14" s="600" t="s">
        <v>90</v>
      </c>
      <c r="G14" s="666" t="str">
        <f>G1&amp;".1"</f>
        <v>4.1</v>
      </c>
      <c r="H14" s="666"/>
      <c r="I14" s="666" t="str">
        <f>I1&amp;".1"</f>
        <v>4.1</v>
      </c>
      <c r="J14" s="666"/>
      <c r="K14" s="296"/>
      <c r="V14" s="512">
        <v>0</v>
      </c>
    </row>
    <row customHeight="1" ht="22.5" hidden="1">
      <c r="A15" s="512"/>
      <c r="C15" s="533"/>
      <c r="D15" s="528">
        <v>1</v>
      </c>
      <c r="E15" s="684" t="s">
        <v>836</v>
      </c>
      <c r="F15" s="528" t="s">
        <v>837</v>
      </c>
      <c r="G15" s="685"/>
      <c r="H15" s="685"/>
      <c r="I15" s="685"/>
      <c r="J15" s="685"/>
      <c r="K15" s="296" t="s">
        <v>838</v>
      </c>
      <c r="V15" s="512">
        <v>0</v>
      </c>
    </row>
    <row customHeight="1" ht="22.5" hidden="1">
      <c r="A16" s="512"/>
      <c r="C16" s="533"/>
      <c r="D16" s="528">
        <v>2</v>
      </c>
      <c r="E16" s="286" t="s">
        <v>839</v>
      </c>
      <c r="F16" s="528" t="s">
        <v>840</v>
      </c>
      <c r="G16" s="685"/>
      <c r="H16" s="685"/>
      <c r="I16" s="685"/>
      <c r="J16" s="685"/>
      <c r="K16" s="296" t="s">
        <v>841</v>
      </c>
      <c r="V16" s="512">
        <v>0</v>
      </c>
    </row>
    <row customHeight="1" ht="123.75" hidden="1">
      <c r="A17" s="512"/>
      <c r="C17" s="533"/>
      <c r="D17" s="528">
        <v>3</v>
      </c>
      <c r="E17" s="286" t="s">
        <v>1207</v>
      </c>
      <c r="F17" s="528" t="s">
        <v>305</v>
      </c>
      <c r="G17" s="685"/>
      <c r="H17" s="685"/>
      <c r="I17" s="685"/>
      <c r="J17" s="685"/>
      <c r="K17" s="296" t="s">
        <v>1208</v>
      </c>
      <c r="V17" s="512">
        <v>0</v>
      </c>
    </row>
    <row customHeight="1" ht="48.29999999999999">
      <c r="A18" s="512"/>
      <c r="C18" s="533"/>
      <c r="D18" s="528">
        <v>3</v>
      </c>
      <c r="E18" s="286" t="s">
        <v>842</v>
      </c>
      <c r="F18" s="528" t="s">
        <v>305</v>
      </c>
      <c r="G18" s="816" t="s">
        <v>305</v>
      </c>
      <c r="H18" s="817" t="s">
        <v>305</v>
      </c>
      <c r="I18" s="528" t="s">
        <v>305</v>
      </c>
      <c r="J18" s="585" t="s">
        <v>305</v>
      </c>
      <c r="K18" s="296" t="s">
        <v>1209</v>
      </c>
      <c r="V18" s="512">
        <v>46</v>
      </c>
    </row>
    <row customHeight="1" ht="35.699999999999996">
      <c r="A19" s="512"/>
      <c r="C19" s="533"/>
      <c r="D19" s="546" t="s">
        <v>323</v>
      </c>
      <c r="E19" s="566" t="s">
        <v>844</v>
      </c>
      <c r="F19" s="528" t="s">
        <v>845</v>
      </c>
      <c r="G19" s="824"/>
      <c r="H19" s="113"/>
      <c r="I19" s="824"/>
      <c r="J19" s="825"/>
      <c r="K19" s="686"/>
      <c r="V19" s="512">
        <v>34</v>
      </c>
    </row>
    <row customHeight="1" ht="35.699999999999996">
      <c r="A20" s="512"/>
      <c r="C20" s="533"/>
      <c r="D20" s="1894" t="s">
        <v>331</v>
      </c>
      <c r="E20" s="566" t="s">
        <v>846</v>
      </c>
      <c r="F20" s="528" t="s">
        <v>847</v>
      </c>
      <c r="G20" s="824"/>
      <c r="H20" s="113"/>
      <c r="I20" s="824"/>
      <c r="J20" s="113"/>
      <c r="K20" s="686"/>
      <c r="V20" s="512">
        <v>34</v>
      </c>
    </row>
    <row customHeight="1" ht="48.29999999999999">
      <c r="A21" s="512"/>
      <c r="C21" s="533"/>
      <c r="D21" s="1894" t="s">
        <v>333</v>
      </c>
      <c r="E21" s="566" t="s">
        <v>848</v>
      </c>
      <c r="F21" s="528" t="s">
        <v>568</v>
      </c>
      <c r="G21" s="687"/>
      <c r="H21" s="113"/>
      <c r="I21" s="687"/>
      <c r="J21" s="113"/>
      <c r="K21" s="686"/>
      <c r="V21" s="512">
        <v>46</v>
      </c>
    </row>
    <row customHeight="1" ht="67.5" hidden="1">
      <c r="A22" s="512"/>
      <c r="C22" s="533"/>
      <c r="D22" s="528">
        <v>5</v>
      </c>
      <c r="E22" s="286" t="s">
        <v>1210</v>
      </c>
      <c r="F22" s="528" t="s">
        <v>555</v>
      </c>
      <c r="G22" s="688"/>
      <c r="H22" s="689"/>
      <c r="I22" s="688"/>
      <c r="J22" s="689"/>
      <c r="K22" s="296" t="s">
        <v>1211</v>
      </c>
      <c r="V22" s="512">
        <v>0</v>
      </c>
    </row>
    <row customHeight="1" ht="33.75" hidden="1">
      <c r="C23" s="458"/>
      <c r="D23" s="528">
        <v>6</v>
      </c>
      <c r="E23" s="286" t="s">
        <v>1212</v>
      </c>
      <c r="F23" s="528" t="s">
        <v>1213</v>
      </c>
      <c r="G23" s="688"/>
      <c r="H23" s="688"/>
      <c r="I23" s="688"/>
      <c r="J23" s="688"/>
      <c r="K23" s="296" t="s">
        <v>1214</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82</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5A0E1A-E724-D3F7-DFAE-1D4DE30A9E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41.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1215</v>
      </c>
      <c r="B1" s="1074" t="s">
        <v>1216</v>
      </c>
      <c r="C1" s="1074" t="s">
        <v>1217</v>
      </c>
      <c r="D1" s="1074" t="s">
        <v>1218</v>
      </c>
      <c r="E1" s="1074" t="s">
        <v>1219</v>
      </c>
      <c r="F1" s="1074" t="s">
        <v>1220</v>
      </c>
      <c r="G1" s="1074" t="s">
        <v>1221</v>
      </c>
      <c r="H1" s="1074" t="s">
        <v>1222</v>
      </c>
      <c r="I1" s="1074" t="s">
        <v>1223</v>
      </c>
      <c r="J1" s="1074" t="s">
        <v>1224</v>
      </c>
      <c r="K1" s="1074" t="s">
        <v>1225</v>
      </c>
      <c r="L1" s="1074" t="s">
        <v>1226</v>
      </c>
      <c r="M1" s="1074"/>
      <c r="N1" s="1074" t="s">
        <v>1227</v>
      </c>
      <c r="O1" s="1074" t="s">
        <v>1228</v>
      </c>
      <c r="P1" s="1074" t="s">
        <v>1229</v>
      </c>
      <c r="Q1" s="1074" t="s">
        <v>1230</v>
      </c>
      <c r="R1" s="1074" t="s">
        <v>1231</v>
      </c>
      <c r="S1" s="1074" t="s">
        <v>1232</v>
      </c>
      <c r="T1" s="1074" t="s">
        <v>1233</v>
      </c>
      <c r="U1" s="1074" t="s">
        <v>1234</v>
      </c>
      <c r="V1" s="1074"/>
      <c r="W1" s="804" t="s">
        <v>1235</v>
      </c>
      <c r="X1" s="1074" t="s">
        <v>1236</v>
      </c>
      <c r="Y1" s="1074" t="s">
        <v>1237</v>
      </c>
      <c r="Z1" s="1074"/>
      <c r="AA1" s="1074" t="s">
        <v>1238</v>
      </c>
      <c r="AB1" s="1074"/>
      <c r="AC1" s="1074" t="s">
        <v>1239</v>
      </c>
      <c r="AD1" s="1074"/>
      <c r="AF1" s="1074" t="s">
        <v>1240</v>
      </c>
      <c r="AH1" s="1074" t="s">
        <v>1241</v>
      </c>
      <c r="AI1" s="1074" t="s">
        <v>1242</v>
      </c>
      <c r="AK1" s="1074" t="s">
        <v>1243</v>
      </c>
      <c r="AM1" s="1074" t="s">
        <v>1244</v>
      </c>
      <c r="AP1" s="1074" t="s">
        <v>1245</v>
      </c>
      <c r="AQ1" s="1074" t="s">
        <v>1246</v>
      </c>
      <c r="AS1" s="1074" t="s">
        <v>1247</v>
      </c>
      <c r="AU1" s="1074" t="s">
        <v>1248</v>
      </c>
      <c r="AW1" s="1074" t="s">
        <v>1249</v>
      </c>
      <c r="AX1" s="1074" t="s">
        <v>1250</v>
      </c>
      <c r="AZ1" s="1159" t="s">
        <v>1251</v>
      </c>
      <c r="BB1" s="1074" t="s">
        <v>1252</v>
      </c>
      <c r="BC1" s="1074"/>
      <c r="BE1" s="1074" t="s">
        <v>1253</v>
      </c>
      <c r="BF1" s="1074" t="s">
        <v>1254</v>
      </c>
      <c r="BH1" s="1076" t="s">
        <v>835</v>
      </c>
      <c r="BI1" s="1077"/>
      <c r="BJ1" s="1078" t="s">
        <v>1255</v>
      </c>
      <c r="BK1" s="1077"/>
      <c r="BL1" s="1079" t="s">
        <v>934</v>
      </c>
      <c r="BM1" s="1077"/>
      <c r="BN1" s="1080" t="s">
        <v>1256</v>
      </c>
      <c r="BS1" s="1434"/>
    </row>
    <row customHeight="1" ht="11.25">
      <c r="A2" s="1081" t="s">
        <v>1257</v>
      </c>
      <c r="B2" s="1082">
        <v>2000</v>
      </c>
      <c r="C2" s="1082">
        <v>2022</v>
      </c>
      <c r="D2" s="1082" t="s">
        <v>65</v>
      </c>
      <c r="E2" s="1083" t="s">
        <v>1258</v>
      </c>
      <c r="F2" s="1083" t="s">
        <v>1259</v>
      </c>
      <c r="G2" s="1083" t="s">
        <v>1260</v>
      </c>
      <c r="H2" s="1084" t="s">
        <v>54</v>
      </c>
      <c r="I2" s="1083" t="s">
        <v>109</v>
      </c>
      <c r="J2" s="1083" t="s">
        <v>1261</v>
      </c>
      <c r="K2" s="1085" t="s">
        <v>1262</v>
      </c>
      <c r="L2" s="1086"/>
      <c r="M2" s="1085">
        <v>1</v>
      </c>
      <c r="N2" s="1169" t="s">
        <v>1263</v>
      </c>
      <c r="O2" s="1084" t="s">
        <v>1264</v>
      </c>
      <c r="P2" s="1087" t="s">
        <v>38</v>
      </c>
      <c r="Q2" s="1088" t="s">
        <v>1265</v>
      </c>
      <c r="R2" s="150" t="s">
        <v>1266</v>
      </c>
      <c r="S2" s="150" t="s">
        <v>1267</v>
      </c>
      <c r="T2" s="1089" t="s">
        <v>1268</v>
      </c>
      <c r="U2" s="1086" t="s">
        <v>1269</v>
      </c>
      <c r="V2" s="1090">
        <v>1</v>
      </c>
      <c r="W2" s="1091"/>
      <c r="X2" s="1091" t="s">
        <v>1270</v>
      </c>
      <c r="Y2" s="1082" t="s">
        <v>1271</v>
      </c>
      <c r="Z2" s="1092"/>
      <c r="AA2" s="1082" t="s">
        <v>1272</v>
      </c>
      <c r="AB2" s="1093" t="s">
        <v>1272</v>
      </c>
      <c r="AC2" s="1082" t="s">
        <v>1273</v>
      </c>
      <c r="AD2" s="1093" t="s">
        <v>1273</v>
      </c>
      <c r="AF2" s="1084" t="s">
        <v>1269</v>
      </c>
      <c r="AH2" s="1083" t="s">
        <v>1274</v>
      </c>
      <c r="AI2" s="1083" t="s">
        <v>1274</v>
      </c>
      <c r="AK2" s="1083" t="s">
        <v>1275</v>
      </c>
      <c r="AM2" s="1083" t="s">
        <v>1276</v>
      </c>
      <c r="AP2" s="1094" t="s">
        <v>1270</v>
      </c>
      <c r="AQ2" s="1095" t="s">
        <v>1270</v>
      </c>
      <c r="AS2" s="1082" t="s">
        <v>1277</v>
      </c>
      <c r="AU2" s="1127" t="s">
        <v>1278</v>
      </c>
      <c r="AW2" s="1127" t="s">
        <v>1279</v>
      </c>
      <c r="AX2" s="1127" t="s">
        <v>1279</v>
      </c>
      <c r="AZ2" s="1127" t="s">
        <v>1280</v>
      </c>
      <c r="BB2" s="1127" t="s">
        <v>1281</v>
      </c>
      <c r="BC2" s="1127" t="s">
        <v>1282</v>
      </c>
      <c r="BE2" s="2092" t="s">
        <v>1053</v>
      </c>
      <c r="BF2" s="2092" t="s">
        <v>1053</v>
      </c>
    </row>
    <row customHeight="1" ht="11.25">
      <c r="A3" s="1081" t="s">
        <v>1283</v>
      </c>
      <c r="B3" s="1082">
        <v>2001</v>
      </c>
      <c r="C3" s="1082">
        <v>2023</v>
      </c>
      <c r="D3" s="1082" t="s">
        <v>19</v>
      </c>
      <c r="E3" s="1083" t="s">
        <v>1284</v>
      </c>
      <c r="F3" s="1083" t="s">
        <v>1285</v>
      </c>
      <c r="G3" s="1083" t="s">
        <v>1286</v>
      </c>
      <c r="H3" s="1084" t="s">
        <v>1287</v>
      </c>
      <c r="I3" s="1083" t="s">
        <v>110</v>
      </c>
      <c r="J3" s="1083" t="s">
        <v>553</v>
      </c>
      <c r="K3" s="1085" t="s">
        <v>1288</v>
      </c>
      <c r="L3" s="1086">
        <f>_xlfn.IFERROR(MATCH(K3,OFFER_METHOD,0),0)</f>
        <v>0</v>
      </c>
      <c r="M3" s="1085">
        <v>2</v>
      </c>
      <c r="N3" s="1169" t="s">
        <v>1289</v>
      </c>
      <c r="O3" s="1084" t="s">
        <v>1290</v>
      </c>
      <c r="P3" s="1087" t="s">
        <v>1291</v>
      </c>
      <c r="Q3" s="1088" t="s">
        <v>1292</v>
      </c>
      <c r="R3" s="150" t="s">
        <v>1293</v>
      </c>
      <c r="S3" s="150" t="s">
        <v>1294</v>
      </c>
      <c r="T3" s="1089" t="s">
        <v>1295</v>
      </c>
      <c r="U3" s="1086" t="s">
        <v>1296</v>
      </c>
      <c r="V3" s="1090">
        <v>2</v>
      </c>
      <c r="W3" s="1091"/>
      <c r="X3" s="1091" t="s">
        <v>1297</v>
      </c>
      <c r="Y3" s="1082" t="s">
        <v>1271</v>
      </c>
      <c r="Z3" s="1092"/>
      <c r="AA3" s="1082" t="s">
        <v>1298</v>
      </c>
      <c r="AB3" s="1093" t="s">
        <v>1298</v>
      </c>
      <c r="AC3" s="1082" t="s">
        <v>1299</v>
      </c>
      <c r="AD3" s="1093" t="s">
        <v>1299</v>
      </c>
      <c r="AF3" s="1084" t="s">
        <v>1296</v>
      </c>
      <c r="AH3" s="1083" t="s">
        <v>1300</v>
      </c>
      <c r="AI3" s="1083" t="s">
        <v>1301</v>
      </c>
      <c r="AK3" s="1083" t="s">
        <v>1302</v>
      </c>
      <c r="AM3" s="1083" t="s">
        <v>1303</v>
      </c>
      <c r="AP3" s="1094" t="s">
        <v>1304</v>
      </c>
      <c r="AQ3" s="1095" t="s">
        <v>1304</v>
      </c>
      <c r="AS3" s="1082" t="s">
        <v>1305</v>
      </c>
      <c r="AU3" s="1127" t="s">
        <v>1306</v>
      </c>
      <c r="AW3" s="1127" t="s">
        <v>1307</v>
      </c>
      <c r="AX3" s="1127" t="s">
        <v>1307</v>
      </c>
      <c r="AZ3" s="1127" t="s">
        <v>1308</v>
      </c>
      <c r="BB3" s="1127" t="s">
        <v>1309</v>
      </c>
      <c r="BC3" s="1127" t="s">
        <v>1282</v>
      </c>
      <c r="BE3" s="2092" t="s">
        <v>1310</v>
      </c>
      <c r="BF3" s="2092" t="s">
        <v>1310</v>
      </c>
      <c r="BH3" s="1074" t="s">
        <v>1311</v>
      </c>
      <c r="BJ3" s="1074" t="s">
        <v>1312</v>
      </c>
      <c r="BL3" s="1074" t="s">
        <v>1313</v>
      </c>
      <c r="BN3" s="1074" t="s">
        <v>1314</v>
      </c>
      <c r="BR3" s="1074" t="s">
        <v>1315</v>
      </c>
      <c r="BS3" s="1435"/>
      <c r="BT3" s="1077"/>
      <c r="BU3" s="1074" t="s">
        <v>1316</v>
      </c>
      <c r="BV3" s="1077"/>
      <c r="BW3" s="1696"/>
      <c r="BX3" s="1698" t="s">
        <v>1317</v>
      </c>
      <c r="CA3" s="1074" t="s">
        <v>1318</v>
      </c>
    </row>
    <row customHeight="1" ht="11.25">
      <c r="A4" s="1081" t="s">
        <v>1319</v>
      </c>
      <c r="B4" s="1082">
        <v>2002</v>
      </c>
      <c r="C4" s="1082">
        <v>2024</v>
      </c>
      <c r="E4" s="1083" t="s">
        <v>1320</v>
      </c>
      <c r="F4" s="1083" t="s">
        <v>1321</v>
      </c>
      <c r="H4" s="1084" t="s">
        <v>1322</v>
      </c>
      <c r="I4" s="1083" t="s">
        <v>90</v>
      </c>
      <c r="J4" s="1083" t="s">
        <v>1323</v>
      </c>
      <c r="K4" s="1085" t="s">
        <v>1324</v>
      </c>
      <c r="L4" s="1086">
        <f>_xlfn.IFERROR(MATCH(K4,OFFER_METHOD,0),0)</f>
        <v>0</v>
      </c>
      <c r="M4" s="1085">
        <v>3</v>
      </c>
      <c r="N4" s="1169" t="s">
        <v>1325</v>
      </c>
      <c r="O4" s="1083" t="s">
        <v>1326</v>
      </c>
      <c r="Q4" s="1088" t="s">
        <v>1327</v>
      </c>
      <c r="R4" s="150" t="s">
        <v>1328</v>
      </c>
      <c r="S4" s="150" t="s">
        <v>1329</v>
      </c>
      <c r="T4" s="1089" t="s">
        <v>1330</v>
      </c>
      <c r="U4" s="1086" t="s">
        <v>1331</v>
      </c>
      <c r="V4" s="1090">
        <v>3</v>
      </c>
      <c r="W4" s="1091"/>
      <c r="X4" s="1091" t="s">
        <v>1332</v>
      </c>
      <c r="Y4" s="1082" t="s">
        <v>1271</v>
      </c>
      <c r="Z4" s="1098"/>
      <c r="AC4" s="1082" t="s">
        <v>1333</v>
      </c>
      <c r="AD4" s="1093" t="s">
        <v>1333</v>
      </c>
      <c r="AF4" s="1084" t="s">
        <v>1331</v>
      </c>
      <c r="AH4" s="1084" t="s">
        <v>1334</v>
      </c>
      <c r="AK4" s="1083" t="s">
        <v>1335</v>
      </c>
      <c r="AM4" s="1083" t="s">
        <v>1336</v>
      </c>
      <c r="AP4" s="1094" t="s">
        <v>1297</v>
      </c>
      <c r="AQ4" s="1095" t="s">
        <v>1297</v>
      </c>
      <c r="AS4" s="1082" t="s">
        <v>1337</v>
      </c>
      <c r="AU4" s="1127" t="s">
        <v>1338</v>
      </c>
      <c r="AW4" s="1127" t="s">
        <v>1339</v>
      </c>
      <c r="AX4" s="1127" t="s">
        <v>1339</v>
      </c>
      <c r="AZ4" s="1127" t="s">
        <v>1340</v>
      </c>
      <c r="BB4" s="1127" t="s">
        <v>1341</v>
      </c>
      <c r="BC4" s="1127" t="s">
        <v>1342</v>
      </c>
      <c r="BE4" s="1127">
        <v>2000</v>
      </c>
      <c r="BF4" s="1127" t="s">
        <v>1343</v>
      </c>
      <c r="BH4" s="1075" t="s">
        <v>1344</v>
      </c>
      <c r="BJ4" s="1075" t="s">
        <v>1344</v>
      </c>
      <c r="BL4" s="1075" t="s">
        <v>1344</v>
      </c>
      <c r="BN4" s="1075" t="s">
        <v>1344</v>
      </c>
      <c r="BQ4" s="1439" t="s">
        <v>1345</v>
      </c>
      <c r="BR4" s="1166" t="s">
        <v>1346</v>
      </c>
      <c r="BS4" s="281"/>
      <c r="BT4" s="1439" t="s">
        <v>1347</v>
      </c>
      <c r="BU4" s="1166" t="s">
        <v>1348</v>
      </c>
      <c r="BV4" s="1077"/>
      <c r="BW4" s="1703" t="s">
        <v>1349</v>
      </c>
      <c r="BX4" s="1697" t="s">
        <v>1350</v>
      </c>
      <c r="BZ4" s="1439" t="s">
        <v>1351</v>
      </c>
      <c r="CA4" s="1166" t="s">
        <v>1352</v>
      </c>
    </row>
    <row customHeight="1" ht="11.25">
      <c r="A5" s="1081" t="s">
        <v>1353</v>
      </c>
      <c r="B5" s="1082">
        <v>2003</v>
      </c>
      <c r="C5" s="2098">
        <v>2025</v>
      </c>
      <c r="D5" s="1704" t="s">
        <v>1354</v>
      </c>
      <c r="E5" s="2099" t="s">
        <v>1355</v>
      </c>
      <c r="F5" s="1083" t="s">
        <v>1356</v>
      </c>
      <c r="H5" s="1084" t="s">
        <v>1357</v>
      </c>
      <c r="I5" s="1083" t="s">
        <v>91</v>
      </c>
      <c r="K5" s="1085" t="s">
        <v>1358</v>
      </c>
      <c r="L5" s="1086">
        <f>_xlfn.IFERROR(MATCH(K5,OFFER_METHOD,0),0)</f>
        <v>0</v>
      </c>
      <c r="M5" s="1085">
        <v>4</v>
      </c>
      <c r="N5" s="1099" t="s">
        <v>1359</v>
      </c>
      <c r="O5" s="1083" t="s">
        <v>1360</v>
      </c>
      <c r="Q5" s="1088" t="s">
        <v>1361</v>
      </c>
      <c r="R5" s="150" t="s">
        <v>1362</v>
      </c>
      <c r="T5" s="1084" t="s">
        <v>1363</v>
      </c>
      <c r="U5" s="1086" t="s">
        <v>1364</v>
      </c>
      <c r="V5" s="1090">
        <v>4</v>
      </c>
      <c r="W5" s="1091"/>
      <c r="X5" s="1091" t="s">
        <v>167</v>
      </c>
      <c r="Y5" s="1082" t="s">
        <v>1365</v>
      </c>
      <c r="Z5" s="1098">
        <v>1</v>
      </c>
      <c r="AF5" s="1084" t="s">
        <v>1366</v>
      </c>
      <c r="AH5" s="1083" t="s">
        <v>1367</v>
      </c>
      <c r="AK5" s="1083" t="s">
        <v>1368</v>
      </c>
      <c r="AM5" s="1083" t="s">
        <v>1369</v>
      </c>
      <c r="AP5" s="1094" t="s">
        <v>167</v>
      </c>
      <c r="AQ5" s="1095" t="s">
        <v>167</v>
      </c>
      <c r="AU5" s="1127" t="s">
        <v>1370</v>
      </c>
      <c r="AW5" s="1127" t="s">
        <v>1371</v>
      </c>
      <c r="AX5" s="1127" t="s">
        <v>1371</v>
      </c>
      <c r="AZ5" s="1127" t="s">
        <v>1372</v>
      </c>
      <c r="BB5" s="1127" t="s">
        <v>1373</v>
      </c>
      <c r="BC5" s="1127" t="s">
        <v>1374</v>
      </c>
      <c r="BE5" s="1127">
        <v>2001</v>
      </c>
      <c r="BF5" s="1127" t="s">
        <v>1375</v>
      </c>
      <c r="BH5" s="1075" t="s">
        <v>1054</v>
      </c>
      <c r="BJ5" s="1075" t="s">
        <v>1054</v>
      </c>
      <c r="BL5" s="1075" t="s">
        <v>1054</v>
      </c>
      <c r="BN5" s="1075" t="s">
        <v>1376</v>
      </c>
      <c r="BQ5" s="1288">
        <v>4213775</v>
      </c>
      <c r="BR5" s="1075" t="s">
        <v>1270</v>
      </c>
      <c r="BS5" s="1436"/>
      <c r="BT5" s="1288">
        <v>64236871</v>
      </c>
      <c r="BU5" s="1075" t="s">
        <v>228</v>
      </c>
      <c r="BV5" s="1077"/>
      <c r="BW5" s="1701">
        <v>4213767</v>
      </c>
      <c r="BX5" s="1699" t="s">
        <v>1377</v>
      </c>
      <c r="BZ5" s="1288">
        <v>64237509</v>
      </c>
      <c r="CA5" s="1302" t="s">
        <v>1378</v>
      </c>
    </row>
    <row customHeight="1" ht="11.25">
      <c r="A6" s="1081" t="s">
        <v>1379</v>
      </c>
      <c r="B6" s="1082">
        <v>2004</v>
      </c>
      <c r="C6" s="2098">
        <v>2026</v>
      </c>
      <c r="D6" s="2100"/>
      <c r="E6" s="2099" t="s">
        <v>1380</v>
      </c>
      <c r="F6" s="1100"/>
      <c r="H6" s="1084" t="s">
        <v>1381</v>
      </c>
      <c r="I6" s="1083" t="s">
        <v>111</v>
      </c>
      <c r="J6" s="1074" t="s">
        <v>1382</v>
      </c>
      <c r="L6" s="1086">
        <f>SUM(kind_of_control_method_filter)</f>
        <v>0</v>
      </c>
      <c r="N6" s="1099" t="s">
        <v>1383</v>
      </c>
      <c r="O6" s="1083" t="s">
        <v>1384</v>
      </c>
      <c r="R6" s="150" t="s">
        <v>1265</v>
      </c>
      <c r="T6" s="1084" t="s">
        <v>1385</v>
      </c>
      <c r="U6" s="1086" t="s">
        <v>1366</v>
      </c>
      <c r="V6" s="1090">
        <v>5</v>
      </c>
      <c r="W6" s="1091"/>
      <c r="X6" s="1082" t="s">
        <v>173</v>
      </c>
      <c r="Y6" s="1082" t="s">
        <v>1386</v>
      </c>
      <c r="Z6" s="1098"/>
      <c r="AA6" s="1101"/>
      <c r="AH6" s="1083" t="s">
        <v>1387</v>
      </c>
      <c r="AK6" s="1083" t="s">
        <v>1388</v>
      </c>
      <c r="AM6" s="1083" t="s">
        <v>1389</v>
      </c>
      <c r="AP6" s="1094" t="s">
        <v>173</v>
      </c>
      <c r="AQ6" s="1095" t="s">
        <v>173</v>
      </c>
      <c r="AU6" s="1127" t="s">
        <v>1390</v>
      </c>
      <c r="AW6" s="1127" t="s">
        <v>1391</v>
      </c>
      <c r="AX6" s="1127" t="s">
        <v>1391</v>
      </c>
      <c r="BB6" s="1127" t="s">
        <v>1392</v>
      </c>
      <c r="BC6" s="1127" t="s">
        <v>1374</v>
      </c>
      <c r="BE6" s="1127">
        <v>2002</v>
      </c>
      <c r="BF6" s="1127" t="s">
        <v>1393</v>
      </c>
      <c r="BH6" s="1075" t="s">
        <v>1394</v>
      </c>
      <c r="BJ6" s="1075" t="s">
        <v>1395</v>
      </c>
      <c r="BL6" s="1075" t="s">
        <v>1395</v>
      </c>
      <c r="BN6" s="1075" t="s">
        <v>1396</v>
      </c>
      <c r="BQ6" s="1288">
        <v>4213784</v>
      </c>
      <c r="BR6" s="1302" t="s">
        <v>1304</v>
      </c>
      <c r="BS6" s="1437"/>
      <c r="BT6" s="1288">
        <v>64236872</v>
      </c>
      <c r="BU6" s="1075" t="s">
        <v>233</v>
      </c>
      <c r="BV6" s="1077"/>
      <c r="BW6" s="1701">
        <v>4213768</v>
      </c>
      <c r="BX6" s="1699" t="s">
        <v>253</v>
      </c>
      <c r="BZ6" s="1288">
        <v>64237510</v>
      </c>
      <c r="CA6" s="1075" t="s">
        <v>1397</v>
      </c>
    </row>
    <row customHeight="1" ht="11.25">
      <c r="A7" s="1081" t="s">
        <v>1398</v>
      </c>
      <c r="B7" s="1082">
        <v>2005</v>
      </c>
      <c r="E7" s="1083" t="s">
        <v>1399</v>
      </c>
      <c r="F7" s="1100"/>
      <c r="H7" s="1084" t="s">
        <v>1400</v>
      </c>
      <c r="I7" s="1083" t="s">
        <v>92</v>
      </c>
      <c r="J7" s="1083" t="s">
        <v>1401</v>
      </c>
      <c r="N7" s="1103" t="s">
        <v>1402</v>
      </c>
      <c r="O7" s="1083" t="s">
        <v>1403</v>
      </c>
      <c r="U7" s="1086" t="s">
        <v>19</v>
      </c>
      <c r="V7" s="377" t="s">
        <v>92</v>
      </c>
      <c r="W7" s="1091"/>
      <c r="X7" s="1082" t="s">
        <v>179</v>
      </c>
      <c r="Y7" s="1082" t="s">
        <v>1365</v>
      </c>
      <c r="Z7" s="1098"/>
      <c r="AA7" s="1101"/>
      <c r="AH7" s="1083" t="s">
        <v>1404</v>
      </c>
      <c r="AK7" s="1083" t="s">
        <v>1405</v>
      </c>
      <c r="AM7" s="1083" t="s">
        <v>1406</v>
      </c>
      <c r="AP7" s="1094" t="s">
        <v>179</v>
      </c>
      <c r="AQ7" s="1095" t="s">
        <v>179</v>
      </c>
      <c r="AU7" s="1127" t="s">
        <v>1407</v>
      </c>
      <c r="AW7" s="1127" t="s">
        <v>1408</v>
      </c>
      <c r="AX7" s="1127" t="s">
        <v>1408</v>
      </c>
      <c r="AZ7" s="1074" t="s">
        <v>1409</v>
      </c>
      <c r="BB7" s="1127" t="s">
        <v>1410</v>
      </c>
      <c r="BC7" s="1127" t="s">
        <v>1374</v>
      </c>
      <c r="BE7" s="1127">
        <v>2003</v>
      </c>
      <c r="BF7" s="1127" t="s">
        <v>1411</v>
      </c>
      <c r="BH7" s="1075" t="s">
        <v>1412</v>
      </c>
      <c r="BJ7" s="1075" t="s">
        <v>1394</v>
      </c>
      <c r="BL7" s="1075" t="s">
        <v>1394</v>
      </c>
      <c r="BN7" s="1075" t="s">
        <v>1413</v>
      </c>
      <c r="BQ7" s="1288">
        <v>4213781</v>
      </c>
      <c r="BR7" s="1075" t="s">
        <v>1297</v>
      </c>
      <c r="BS7" s="1436"/>
      <c r="BT7" s="1288">
        <v>64236873</v>
      </c>
      <c r="BU7" s="1075" t="s">
        <v>238</v>
      </c>
      <c r="BV7" s="1077"/>
      <c r="BW7" s="1701">
        <v>4213769</v>
      </c>
      <c r="BX7" s="1699" t="s">
        <v>1414</v>
      </c>
      <c r="BZ7" s="1288">
        <v>64237511</v>
      </c>
      <c r="CA7" s="1075" t="s">
        <v>268</v>
      </c>
    </row>
    <row customHeight="1" ht="11.25">
      <c r="A8" s="1081" t="s">
        <v>1415</v>
      </c>
      <c r="B8" s="1082">
        <v>2006</v>
      </c>
      <c r="E8" s="1083" t="s">
        <v>1416</v>
      </c>
      <c r="F8" s="1100"/>
      <c r="H8" s="1084" t="s">
        <v>1417</v>
      </c>
      <c r="I8" s="1083" t="s">
        <v>93</v>
      </c>
      <c r="J8" s="1083" t="s">
        <v>1418</v>
      </c>
      <c r="N8" s="1170" t="s">
        <v>1419</v>
      </c>
      <c r="O8" s="1083" t="s">
        <v>1420</v>
      </c>
      <c r="V8" s="377" t="s">
        <v>93</v>
      </c>
      <c r="W8" s="1091"/>
      <c r="X8" s="1082" t="s">
        <v>185</v>
      </c>
      <c r="Y8" s="1082" t="s">
        <v>1365</v>
      </c>
      <c r="Z8" s="1098"/>
      <c r="AA8" s="1101"/>
      <c r="AK8" s="1083" t="s">
        <v>1421</v>
      </c>
      <c r="AP8" s="1094" t="s">
        <v>185</v>
      </c>
      <c r="AQ8" s="1095" t="s">
        <v>185</v>
      </c>
      <c r="AU8" s="1127" t="s">
        <v>1422</v>
      </c>
      <c r="AW8" s="1127" t="s">
        <v>1423</v>
      </c>
      <c r="AX8" s="1127" t="s">
        <v>1423</v>
      </c>
      <c r="AZ8" s="1127" t="s">
        <v>67</v>
      </c>
      <c r="BB8" s="1127" t="s">
        <v>1424</v>
      </c>
      <c r="BC8" s="1127" t="s">
        <v>1374</v>
      </c>
      <c r="BE8" s="1127">
        <v>2004</v>
      </c>
      <c r="BF8" s="1127" t="s">
        <v>1425</v>
      </c>
      <c r="BH8" s="1075" t="s">
        <v>1426</v>
      </c>
      <c r="BJ8" s="1075" t="s">
        <v>1427</v>
      </c>
      <c r="BL8" s="1075" t="s">
        <v>1427</v>
      </c>
      <c r="BN8" s="1075" t="s">
        <v>1428</v>
      </c>
      <c r="BQ8" s="1288">
        <v>4213776</v>
      </c>
      <c r="BR8" s="1075" t="s">
        <v>167</v>
      </c>
      <c r="BS8" s="1436"/>
      <c r="BT8" s="1288">
        <v>64236874</v>
      </c>
      <c r="BU8" s="1302" t="s">
        <v>1429</v>
      </c>
      <c r="BV8" s="1077"/>
      <c r="BW8" s="1701">
        <v>4213770</v>
      </c>
      <c r="BX8" s="1702" t="s">
        <v>1430</v>
      </c>
      <c r="BZ8" s="1288">
        <v>64237512</v>
      </c>
      <c r="CA8" s="1075" t="s">
        <v>263</v>
      </c>
    </row>
    <row customHeight="1" ht="11.25">
      <c r="A9" s="1081" t="s">
        <v>1431</v>
      </c>
      <c r="B9" s="1082">
        <v>2007</v>
      </c>
      <c r="E9" s="1083" t="s">
        <v>1432</v>
      </c>
      <c r="F9" s="2101" t="s">
        <v>1433</v>
      </c>
      <c r="G9" s="1074" t="s">
        <v>1434</v>
      </c>
      <c r="H9" s="1074" t="s">
        <v>1435</v>
      </c>
      <c r="I9" s="1083" t="s">
        <v>112</v>
      </c>
      <c r="O9" s="1083" t="s">
        <v>1436</v>
      </c>
      <c r="V9" s="377" t="s">
        <v>112</v>
      </c>
      <c r="W9" s="1091"/>
      <c r="X9" s="1082" t="s">
        <v>191</v>
      </c>
      <c r="Y9" s="1082" t="s">
        <v>1271</v>
      </c>
      <c r="Z9" s="1098">
        <v>1</v>
      </c>
      <c r="AA9" s="1101"/>
      <c r="AK9" s="1083" t="s">
        <v>1437</v>
      </c>
      <c r="AP9" s="1094" t="s">
        <v>1438</v>
      </c>
      <c r="AQ9" s="1095" t="s">
        <v>1438</v>
      </c>
      <c r="AW9" s="1127" t="s">
        <v>1439</v>
      </c>
      <c r="AX9" s="1127" t="s">
        <v>1439</v>
      </c>
      <c r="AZ9" s="1127" t="s">
        <v>1440</v>
      </c>
      <c r="BB9" s="1127" t="s">
        <v>1441</v>
      </c>
      <c r="BC9" s="1127" t="s">
        <v>1374</v>
      </c>
      <c r="BE9" s="1127">
        <v>2005</v>
      </c>
      <c r="BF9" s="1127" t="s">
        <v>1442</v>
      </c>
      <c r="BH9" s="1075" t="s">
        <v>1443</v>
      </c>
      <c r="BJ9" s="1075" t="s">
        <v>1444</v>
      </c>
      <c r="BL9" s="1075" t="s">
        <v>1444</v>
      </c>
      <c r="BN9" s="1075" t="s">
        <v>1445</v>
      </c>
      <c r="BQ9" s="1288">
        <v>4213777</v>
      </c>
      <c r="BR9" s="1075" t="s">
        <v>173</v>
      </c>
      <c r="BS9" s="1436"/>
      <c r="BT9" s="1288">
        <v>64236875</v>
      </c>
      <c r="BU9" s="1075" t="s">
        <v>243</v>
      </c>
      <c r="BV9" s="1077"/>
      <c r="BW9" s="1696"/>
      <c r="BX9" s="1696"/>
    </row>
    <row customHeight="1" ht="11.25">
      <c r="A10" s="1081" t="s">
        <v>1446</v>
      </c>
      <c r="B10" s="1082">
        <v>2008</v>
      </c>
      <c r="E10" s="1085" t="s">
        <v>1447</v>
      </c>
      <c r="F10" s="2102" t="s">
        <v>1448</v>
      </c>
      <c r="G10" s="2099" t="s">
        <v>1449</v>
      </c>
      <c r="H10" s="1083" t="s">
        <v>1450</v>
      </c>
      <c r="I10" s="1083" t="s">
        <v>149</v>
      </c>
      <c r="J10" s="1074" t="s">
        <v>1451</v>
      </c>
      <c r="K10" s="1074" t="s">
        <v>1452</v>
      </c>
      <c r="O10" s="1083" t="s">
        <v>1453</v>
      </c>
      <c r="V10" s="378" t="s">
        <v>149</v>
      </c>
      <c r="W10" s="1104"/>
      <c r="X10" s="1104" t="s">
        <v>1454</v>
      </c>
      <c r="Y10" s="1105" t="s">
        <v>1455</v>
      </c>
      <c r="Z10" s="1098"/>
      <c r="AP10" s="1094" t="s">
        <v>1454</v>
      </c>
      <c r="AQ10" s="1095" t="s">
        <v>1454</v>
      </c>
      <c r="AW10" s="1127" t="s">
        <v>1456</v>
      </c>
      <c r="AX10" s="1127" t="s">
        <v>1456</v>
      </c>
      <c r="AZ10" s="1127" t="s">
        <v>1457</v>
      </c>
      <c r="BB10" s="1127" t="s">
        <v>1458</v>
      </c>
      <c r="BC10" s="1127" t="s">
        <v>1374</v>
      </c>
      <c r="BE10" s="1127">
        <v>2006</v>
      </c>
      <c r="BF10" s="1127" t="s">
        <v>1459</v>
      </c>
      <c r="BH10" s="1075" t="s">
        <v>1460</v>
      </c>
      <c r="BJ10" s="1075" t="s">
        <v>1461</v>
      </c>
      <c r="BL10" s="1075" t="s">
        <v>1461</v>
      </c>
      <c r="BN10" s="1075" t="s">
        <v>1462</v>
      </c>
      <c r="BQ10" s="1288">
        <v>4213778</v>
      </c>
      <c r="BR10" s="1075" t="s">
        <v>179</v>
      </c>
      <c r="BS10" s="1436"/>
      <c r="BT10" s="1288">
        <v>64236876</v>
      </c>
      <c r="BU10" s="1075" t="s">
        <v>223</v>
      </c>
      <c r="BV10" s="1077"/>
      <c r="BW10" s="1696"/>
      <c r="BX10" s="1696"/>
    </row>
    <row customHeight="1" ht="11.25">
      <c r="A11" s="1081" t="s">
        <v>1463</v>
      </c>
      <c r="B11" s="1082">
        <v>2009</v>
      </c>
      <c r="E11" s="1085" t="s">
        <v>1464</v>
      </c>
      <c r="F11" s="2102" t="s">
        <v>1465</v>
      </c>
      <c r="G11" s="2099" t="s">
        <v>1466</v>
      </c>
      <c r="H11" s="1083" t="s">
        <v>1467</v>
      </c>
      <c r="I11" s="1083" t="s">
        <v>150</v>
      </c>
      <c r="J11" s="1084" t="s">
        <v>1468</v>
      </c>
      <c r="K11" s="1106" t="s">
        <v>1469</v>
      </c>
      <c r="O11" s="1084" t="s">
        <v>1470</v>
      </c>
      <c r="V11" s="377" t="s">
        <v>150</v>
      </c>
      <c r="W11" s="282"/>
      <c r="X11" s="1091" t="s">
        <v>1438</v>
      </c>
      <c r="Y11" s="1082" t="s">
        <v>1471</v>
      </c>
      <c r="Z11" s="1098"/>
      <c r="AP11" s="1094" t="s">
        <v>191</v>
      </c>
      <c r="AQ11" s="1096" t="s">
        <v>191</v>
      </c>
      <c r="AW11" s="1127" t="s">
        <v>1472</v>
      </c>
      <c r="AX11" s="1127" t="s">
        <v>1472</v>
      </c>
      <c r="AZ11" s="1127" t="s">
        <v>1473</v>
      </c>
      <c r="BB11" s="1127" t="s">
        <v>1474</v>
      </c>
      <c r="BC11" s="1127" t="s">
        <v>1374</v>
      </c>
      <c r="BE11" s="1127">
        <v>2007</v>
      </c>
      <c r="BF11" s="1127" t="s">
        <v>1475</v>
      </c>
      <c r="BH11" s="1075" t="s">
        <v>1476</v>
      </c>
      <c r="BJ11" s="1075" t="s">
        <v>1443</v>
      </c>
      <c r="BL11" s="1075" t="s">
        <v>1443</v>
      </c>
      <c r="BN11" s="1075" t="s">
        <v>1477</v>
      </c>
      <c r="BQ11" s="1288">
        <v>4213780</v>
      </c>
      <c r="BR11" s="1075" t="s">
        <v>185</v>
      </c>
      <c r="BS11" s="1436"/>
      <c r="BW11" s="1696"/>
      <c r="BX11" s="1696"/>
    </row>
    <row customHeight="1" ht="11.25">
      <c r="A12" s="1081" t="s">
        <v>1478</v>
      </c>
      <c r="B12" s="1082">
        <v>2010</v>
      </c>
      <c r="E12" s="1085" t="s">
        <v>1479</v>
      </c>
      <c r="F12" s="2102" t="s">
        <v>1480</v>
      </c>
      <c r="G12" s="2099" t="s">
        <v>1467</v>
      </c>
      <c r="I12" s="1083" t="s">
        <v>151</v>
      </c>
      <c r="J12" s="1084" t="s">
        <v>1481</v>
      </c>
      <c r="K12" s="1106" t="s">
        <v>1482</v>
      </c>
      <c r="O12" s="1084" t="s">
        <v>1265</v>
      </c>
      <c r="V12" s="377" t="s">
        <v>151</v>
      </c>
      <c r="W12" s="1096"/>
      <c r="X12" s="1091" t="s">
        <v>1483</v>
      </c>
      <c r="Y12" s="1082" t="s">
        <v>1271</v>
      </c>
      <c r="AP12" s="1094"/>
      <c r="AW12" s="1127" t="s">
        <v>150</v>
      </c>
      <c r="AX12" s="1127" t="s">
        <v>150</v>
      </c>
      <c r="AZ12" s="1127" t="s">
        <v>1484</v>
      </c>
      <c r="BB12" s="1127" t="s">
        <v>1485</v>
      </c>
      <c r="BC12" s="1127" t="s">
        <v>1374</v>
      </c>
      <c r="BE12" s="1127">
        <v>2008</v>
      </c>
      <c r="BF12" s="1127" t="s">
        <v>1486</v>
      </c>
      <c r="BH12" s="1075" t="s">
        <v>1487</v>
      </c>
      <c r="BJ12" s="1075" t="s">
        <v>1488</v>
      </c>
      <c r="BL12" s="1075" t="s">
        <v>1488</v>
      </c>
      <c r="BN12" s="1075" t="s">
        <v>1489</v>
      </c>
      <c r="BQ12" s="1288">
        <v>4213779</v>
      </c>
      <c r="BR12" s="1075" t="s">
        <v>1438</v>
      </c>
      <c r="BS12" s="1436"/>
      <c r="BT12" s="1077"/>
      <c r="BU12" s="1077"/>
      <c r="BV12" s="1077"/>
      <c r="BW12" s="1696"/>
      <c r="BX12" s="1696"/>
    </row>
    <row customHeight="1" ht="11.25">
      <c r="A13" s="1081" t="s">
        <v>1490</v>
      </c>
      <c r="B13" s="1082">
        <v>2011</v>
      </c>
      <c r="E13" s="1083" t="s">
        <v>1491</v>
      </c>
      <c r="F13" s="1100"/>
      <c r="I13" s="1083" t="s">
        <v>152</v>
      </c>
      <c r="K13" s="1106" t="s">
        <v>1437</v>
      </c>
      <c r="V13" s="377" t="s">
        <v>152</v>
      </c>
      <c r="W13" s="1096"/>
      <c r="X13" s="1096"/>
      <c r="Y13" s="1096"/>
      <c r="AW13" s="1127" t="s">
        <v>151</v>
      </c>
      <c r="AX13" s="1127" t="s">
        <v>151</v>
      </c>
      <c r="BB13" s="1127" t="s">
        <v>1492</v>
      </c>
      <c r="BC13" s="1127" t="s">
        <v>1493</v>
      </c>
      <c r="BE13" s="1127">
        <v>2009</v>
      </c>
      <c r="BF13" s="1127" t="s">
        <v>1494</v>
      </c>
      <c r="BH13" s="1075" t="s">
        <v>1495</v>
      </c>
      <c r="BJ13" s="1075" t="s">
        <v>1476</v>
      </c>
      <c r="BL13" s="1075" t="s">
        <v>1476</v>
      </c>
      <c r="BN13" s="1075" t="s">
        <v>1496</v>
      </c>
      <c r="BQ13" s="1288">
        <v>4213783</v>
      </c>
      <c r="BR13" s="1075" t="s">
        <v>1454</v>
      </c>
      <c r="BS13" s="1436"/>
      <c r="BT13" s="1077"/>
      <c r="BU13" s="1077"/>
      <c r="BV13" s="1077"/>
      <c r="BW13" s="1700"/>
      <c r="BX13" s="1696"/>
    </row>
    <row customHeight="1" ht="11.25">
      <c r="A14" s="1081" t="s">
        <v>1497</v>
      </c>
      <c r="B14" s="1082">
        <v>2012</v>
      </c>
      <c r="I14" s="1083" t="s">
        <v>153</v>
      </c>
      <c r="J14" s="1074" t="s">
        <v>1498</v>
      </c>
      <c r="N14" s="1074" t="s">
        <v>1499</v>
      </c>
      <c r="V14" s="1090">
        <v>13</v>
      </c>
      <c r="W14" s="1091"/>
      <c r="X14" s="1091" t="s">
        <v>1304</v>
      </c>
      <c r="Y14" s="1082" t="s">
        <v>1271</v>
      </c>
      <c r="AW14" s="1127" t="s">
        <v>152</v>
      </c>
      <c r="AX14" s="1127" t="s">
        <v>152</v>
      </c>
      <c r="AZ14" s="1074" t="s">
        <v>1500</v>
      </c>
      <c r="BB14" s="1127" t="s">
        <v>1501</v>
      </c>
      <c r="BC14" s="1127" t="s">
        <v>1493</v>
      </c>
      <c r="BE14" s="1127">
        <v>2010</v>
      </c>
      <c r="BF14" s="1127" t="s">
        <v>1502</v>
      </c>
      <c r="BH14" s="1075" t="s">
        <v>1413</v>
      </c>
      <c r="BJ14" s="1224" t="s">
        <v>1503</v>
      </c>
      <c r="BL14" s="1224" t="s">
        <v>1503</v>
      </c>
      <c r="BN14" s="1075" t="s">
        <v>1504</v>
      </c>
      <c r="BQ14" s="1288">
        <v>4213782</v>
      </c>
      <c r="BR14" s="1075" t="s">
        <v>191</v>
      </c>
      <c r="BS14" s="1436"/>
      <c r="BT14" s="1077"/>
      <c r="BU14" s="1077"/>
      <c r="BV14" s="1077"/>
      <c r="BW14" s="1700"/>
      <c r="BX14" s="1696"/>
    </row>
    <row customHeight="1" ht="19.5">
      <c r="A15" s="1081" t="s">
        <v>1505</v>
      </c>
      <c r="B15" s="1082">
        <v>2013</v>
      </c>
      <c r="E15" s="1704" t="s">
        <v>1506</v>
      </c>
      <c r="G15" s="1074" t="s">
        <v>1507</v>
      </c>
      <c r="H15" s="1074" t="s">
        <v>1508</v>
      </c>
      <c r="I15" s="1085" t="s">
        <v>154</v>
      </c>
      <c r="J15" s="1096" t="s">
        <v>594</v>
      </c>
      <c r="N15" s="1165" t="s">
        <v>1509</v>
      </c>
      <c r="X15" s="1094"/>
      <c r="AW15" s="1127" t="s">
        <v>153</v>
      </c>
      <c r="AX15" s="1127" t="s">
        <v>153</v>
      </c>
      <c r="AZ15" s="1127" t="s">
        <v>67</v>
      </c>
      <c r="BB15" s="1127" t="s">
        <v>1510</v>
      </c>
      <c r="BC15" s="1127" t="s">
        <v>1493</v>
      </c>
      <c r="BE15" s="1127">
        <v>2011</v>
      </c>
      <c r="BF15" s="1127" t="s">
        <v>1059</v>
      </c>
      <c r="BH15" s="1075" t="s">
        <v>1428</v>
      </c>
      <c r="BJ15" s="1224" t="s">
        <v>1511</v>
      </c>
      <c r="BL15" s="1224" t="s">
        <v>1511</v>
      </c>
      <c r="BN15" s="1075" t="s">
        <v>1512</v>
      </c>
      <c r="BR15" s="1077"/>
      <c r="BS15" s="1438"/>
      <c r="BT15" s="1077"/>
      <c r="BU15" s="1077"/>
      <c r="BV15" s="1077"/>
      <c r="BW15" s="1700"/>
      <c r="BX15" s="1696"/>
    </row>
    <row customHeight="1" ht="21">
      <c r="A16" s="1874" t="s">
        <v>1513</v>
      </c>
      <c r="B16" s="1082">
        <v>2014</v>
      </c>
      <c r="E16" s="1705" t="s">
        <v>1514</v>
      </c>
      <c r="G16" s="1083" t="s">
        <v>1515</v>
      </c>
      <c r="H16" s="1083" t="s">
        <v>1516</v>
      </c>
      <c r="I16" s="1085" t="s">
        <v>1517</v>
      </c>
      <c r="J16" s="1096" t="s">
        <v>553</v>
      </c>
      <c r="N16" s="1165" t="s">
        <v>1518</v>
      </c>
      <c r="AW16" s="1127" t="s">
        <v>154</v>
      </c>
      <c r="AX16" s="1127" t="s">
        <v>154</v>
      </c>
      <c r="AZ16" s="1127" t="s">
        <v>1440</v>
      </c>
      <c r="BB16" s="1127" t="s">
        <v>1519</v>
      </c>
      <c r="BC16" s="1127" t="s">
        <v>1493</v>
      </c>
      <c r="BE16" s="1127">
        <v>2012</v>
      </c>
      <c r="BH16" s="1075" t="s">
        <v>1445</v>
      </c>
      <c r="BJ16" s="1224" t="s">
        <v>1520</v>
      </c>
      <c r="BL16" s="1224" t="s">
        <v>1520</v>
      </c>
      <c r="BN16" s="1075" t="s">
        <v>1521</v>
      </c>
      <c r="BR16" s="1077"/>
      <c r="BS16" s="1438"/>
      <c r="BT16" s="1077"/>
      <c r="BU16" s="1077"/>
      <c r="BV16" s="1077"/>
      <c r="BW16" s="1700"/>
      <c r="BX16" s="1696"/>
    </row>
    <row customHeight="1" ht="21">
      <c r="A17" s="1081" t="s">
        <v>1522</v>
      </c>
      <c r="B17" s="1082">
        <v>2015</v>
      </c>
      <c r="G17" s="1083" t="s">
        <v>1467</v>
      </c>
      <c r="H17" s="1083" t="s">
        <v>1467</v>
      </c>
      <c r="I17" s="1083" t="s">
        <v>1523</v>
      </c>
      <c r="N17" s="1165" t="s">
        <v>1524</v>
      </c>
      <c r="X17" s="1094"/>
      <c r="AW17" s="1127" t="s">
        <v>1517</v>
      </c>
      <c r="AX17" s="1127" t="s">
        <v>1517</v>
      </c>
      <c r="AZ17" s="1127" t="s">
        <v>1525</v>
      </c>
      <c r="BB17" s="1127" t="s">
        <v>1526</v>
      </c>
      <c r="BC17" s="1127" t="s">
        <v>1374</v>
      </c>
      <c r="BE17" s="1127">
        <v>2013</v>
      </c>
      <c r="BH17" s="1075" t="s">
        <v>1462</v>
      </c>
      <c r="BJ17" s="1224" t="s">
        <v>1527</v>
      </c>
      <c r="BL17" s="1224" t="s">
        <v>1527</v>
      </c>
      <c r="BN17" s="1075" t="s">
        <v>1528</v>
      </c>
      <c r="BR17" s="1074" t="s">
        <v>1315</v>
      </c>
      <c r="BS17" s="1435"/>
      <c r="BU17" s="1074" t="s">
        <v>1529</v>
      </c>
      <c r="BV17" s="1077"/>
      <c r="BW17" s="1696"/>
      <c r="BX17" s="1698" t="s">
        <v>1530</v>
      </c>
      <c r="CA17" s="1074" t="s">
        <v>1531</v>
      </c>
      <c r="CD17" s="1074" t="s">
        <v>1532</v>
      </c>
    </row>
    <row customHeight="1" ht="21">
      <c r="A18" s="1081" t="s">
        <v>1533</v>
      </c>
      <c r="B18" s="1082">
        <v>2016</v>
      </c>
      <c r="E18" s="2009" t="s">
        <v>1534</v>
      </c>
      <c r="I18" s="1083" t="s">
        <v>1535</v>
      </c>
      <c r="N18" s="1165" t="s">
        <v>1536</v>
      </c>
      <c r="X18" s="1094"/>
      <c r="AW18" s="1127" t="s">
        <v>1523</v>
      </c>
      <c r="AX18" s="1127" t="s">
        <v>1523</v>
      </c>
      <c r="BB18" s="1127" t="s">
        <v>1537</v>
      </c>
      <c r="BC18" s="1127" t="s">
        <v>1374</v>
      </c>
      <c r="BE18" s="1127">
        <v>2014</v>
      </c>
      <c r="BH18" s="1075" t="s">
        <v>1477</v>
      </c>
      <c r="BJ18" s="1224" t="s">
        <v>1538</v>
      </c>
      <c r="BL18" s="1224" t="s">
        <v>1538</v>
      </c>
      <c r="BN18" s="1075" t="s">
        <v>1539</v>
      </c>
      <c r="BQ18" s="1439" t="s">
        <v>1345</v>
      </c>
      <c r="BR18" s="1166" t="s">
        <v>1346</v>
      </c>
      <c r="BS18" s="281"/>
      <c r="BT18" s="1439" t="s">
        <v>1540</v>
      </c>
      <c r="BU18" s="1166" t="s">
        <v>1541</v>
      </c>
      <c r="BV18" s="1077"/>
      <c r="BW18" s="1703" t="s">
        <v>1542</v>
      </c>
      <c r="BX18" s="1697" t="s">
        <v>1543</v>
      </c>
      <c r="BZ18" s="1439" t="s">
        <v>1544</v>
      </c>
      <c r="CA18" s="1166" t="s">
        <v>1545</v>
      </c>
      <c r="CC18" s="1439" t="s">
        <v>1546</v>
      </c>
      <c r="CD18" s="1166" t="s">
        <v>1547</v>
      </c>
    </row>
    <row customHeight="1" ht="21">
      <c r="A19" s="1874" t="s">
        <v>1548</v>
      </c>
      <c r="B19" s="1082">
        <v>2017</v>
      </c>
      <c r="E19" s="1081" t="s">
        <v>166</v>
      </c>
      <c r="I19" s="1083" t="s">
        <v>1549</v>
      </c>
      <c r="N19" s="1165" t="s">
        <v>1550</v>
      </c>
      <c r="X19" s="1094"/>
      <c r="AW19" s="1127" t="s">
        <v>1535</v>
      </c>
      <c r="AX19" s="1127" t="s">
        <v>1535</v>
      </c>
      <c r="AZ19" s="1074" t="s">
        <v>1551</v>
      </c>
      <c r="BB19" s="1127" t="s">
        <v>1552</v>
      </c>
      <c r="BC19" s="1127" t="s">
        <v>1374</v>
      </c>
      <c r="BE19" s="1127">
        <v>2015</v>
      </c>
      <c r="BH19" s="1075" t="s">
        <v>1553</v>
      </c>
      <c r="BJ19" s="1224" t="s">
        <v>1554</v>
      </c>
      <c r="BL19" s="1224" t="s">
        <v>1554</v>
      </c>
      <c r="BQ19" s="1288">
        <v>4190064</v>
      </c>
      <c r="BR19" s="1075" t="s">
        <v>1555</v>
      </c>
      <c r="BS19" s="1436"/>
      <c r="BT19" s="1288">
        <v>4189671</v>
      </c>
      <c r="BU19" s="1075" t="s">
        <v>1556</v>
      </c>
      <c r="BV19" s="1077"/>
      <c r="BW19" s="1701">
        <v>4189706</v>
      </c>
      <c r="BX19" s="1699" t="s">
        <v>1557</v>
      </c>
      <c r="BZ19" s="1288">
        <v>4189714</v>
      </c>
      <c r="CA19" s="1075" t="s">
        <v>1558</v>
      </c>
      <c r="CC19" s="1288">
        <v>4189708</v>
      </c>
      <c r="CD19" s="1075" t="s">
        <v>1559</v>
      </c>
    </row>
    <row customHeight="1" ht="21">
      <c r="A20" s="1081" t="s">
        <v>1560</v>
      </c>
      <c r="B20" s="1082">
        <v>2018</v>
      </c>
      <c r="E20" s="1081" t="s">
        <v>1304</v>
      </c>
      <c r="I20" s="1083" t="s">
        <v>1561</v>
      </c>
      <c r="N20" s="1165" t="s">
        <v>1562</v>
      </c>
      <c r="AW20" s="1127" t="s">
        <v>1549</v>
      </c>
      <c r="AX20" s="1127" t="s">
        <v>1549</v>
      </c>
      <c r="AZ20" s="1127" t="s">
        <v>1563</v>
      </c>
      <c r="BB20" s="1127" t="s">
        <v>1564</v>
      </c>
      <c r="BC20" s="1127" t="s">
        <v>1493</v>
      </c>
      <c r="BE20" s="1127">
        <v>2016</v>
      </c>
      <c r="BH20" s="1075" t="s">
        <v>1489</v>
      </c>
      <c r="BJ20" s="1075" t="s">
        <v>1413</v>
      </c>
      <c r="BL20" s="1075" t="s">
        <v>1413</v>
      </c>
      <c r="BQ20" s="1288">
        <v>4190065</v>
      </c>
      <c r="BR20" s="1075" t="s">
        <v>1565</v>
      </c>
      <c r="BS20" s="1436"/>
      <c r="BT20" s="1288">
        <v>4189672</v>
      </c>
      <c r="BU20" s="1075" t="s">
        <v>1566</v>
      </c>
      <c r="BV20" s="1077"/>
      <c r="BW20" s="1701">
        <v>4189705</v>
      </c>
      <c r="BX20" s="1699" t="s">
        <v>1567</v>
      </c>
      <c r="BZ20" s="1288">
        <v>4189713</v>
      </c>
      <c r="CA20" s="1075" t="s">
        <v>1567</v>
      </c>
      <c r="CC20" s="1288">
        <v>4189709</v>
      </c>
      <c r="CD20" s="1075" t="s">
        <v>1568</v>
      </c>
    </row>
    <row customHeight="1" ht="21">
      <c r="A21" s="1081" t="s">
        <v>1569</v>
      </c>
      <c r="B21" s="1082">
        <v>2019</v>
      </c>
      <c r="I21" s="1083" t="s">
        <v>1570</v>
      </c>
      <c r="N21" s="1165" t="s">
        <v>1571</v>
      </c>
      <c r="AW21" s="1127" t="s">
        <v>1561</v>
      </c>
      <c r="AX21" s="1127" t="s">
        <v>1561</v>
      </c>
      <c r="AZ21" s="1127" t="s">
        <v>1572</v>
      </c>
      <c r="BB21" s="1127" t="s">
        <v>1573</v>
      </c>
      <c r="BC21" s="1127" t="s">
        <v>1374</v>
      </c>
      <c r="BE21" s="1127">
        <v>2017</v>
      </c>
      <c r="BH21" s="1075" t="s">
        <v>1496</v>
      </c>
      <c r="BJ21" s="1075" t="s">
        <v>1428</v>
      </c>
      <c r="BL21" s="1075" t="s">
        <v>1428</v>
      </c>
      <c r="BQ21" s="1288">
        <v>4190066</v>
      </c>
      <c r="BR21" s="1075" t="s">
        <v>1574</v>
      </c>
      <c r="BS21" s="1436"/>
      <c r="BT21" s="1288">
        <v>4189673</v>
      </c>
      <c r="BU21" s="1075" t="s">
        <v>1575</v>
      </c>
      <c r="BV21" s="1077"/>
      <c r="BW21" s="1701">
        <v>4189707</v>
      </c>
      <c r="BX21" s="1699" t="s">
        <v>1576</v>
      </c>
      <c r="BZ21" s="1288">
        <v>4189712</v>
      </c>
      <c r="CA21" s="1075" t="s">
        <v>1577</v>
      </c>
      <c r="CC21" s="1288">
        <v>4189710</v>
      </c>
      <c r="CD21" s="1075" t="s">
        <v>1578</v>
      </c>
    </row>
    <row customHeight="1" ht="21">
      <c r="A22" s="1081" t="s">
        <v>1579</v>
      </c>
      <c r="B22" s="1082">
        <v>2020</v>
      </c>
      <c r="N22" s="1165" t="s">
        <v>1580</v>
      </c>
      <c r="AW22" s="1127" t="s">
        <v>1570</v>
      </c>
      <c r="AX22" s="1127" t="s">
        <v>1570</v>
      </c>
      <c r="AZ22" s="1127" t="s">
        <v>1581</v>
      </c>
      <c r="BB22" s="1127" t="s">
        <v>1582</v>
      </c>
      <c r="BC22" s="1127" t="s">
        <v>1374</v>
      </c>
      <c r="BE22" s="1127">
        <v>2018</v>
      </c>
      <c r="BH22" s="1075" t="s">
        <v>1504</v>
      </c>
      <c r="BJ22" s="1075" t="s">
        <v>1445</v>
      </c>
      <c r="BL22" s="1075" t="s">
        <v>1445</v>
      </c>
      <c r="BQ22" s="1288">
        <v>4190067</v>
      </c>
      <c r="BR22" s="1075" t="s">
        <v>1583</v>
      </c>
      <c r="BS22" s="1436"/>
      <c r="BT22" s="1288">
        <v>4189674</v>
      </c>
      <c r="BU22" s="1075" t="s">
        <v>1584</v>
      </c>
      <c r="BV22" s="1077"/>
      <c r="BW22" s="1077"/>
      <c r="CC22" s="1288">
        <v>4189711</v>
      </c>
      <c r="CD22" s="1075" t="s">
        <v>292</v>
      </c>
    </row>
    <row customHeight="1" ht="21">
      <c r="A23" s="1081" t="s">
        <v>1585</v>
      </c>
      <c r="B23" s="1082">
        <v>2021</v>
      </c>
      <c r="AW23" s="1127" t="s">
        <v>1586</v>
      </c>
      <c r="AX23" s="1127" t="s">
        <v>1586</v>
      </c>
      <c r="AZ23" s="1127" t="s">
        <v>1014</v>
      </c>
      <c r="BB23" s="1127" t="s">
        <v>1587</v>
      </c>
      <c r="BC23" s="1127" t="s">
        <v>1282</v>
      </c>
      <c r="BE23" s="1127">
        <v>2019</v>
      </c>
      <c r="BH23" s="1075" t="s">
        <v>1512</v>
      </c>
      <c r="BJ23" s="1075" t="s">
        <v>1462</v>
      </c>
      <c r="BL23" s="1075" t="s">
        <v>1462</v>
      </c>
      <c r="BQ23" s="1288">
        <v>4190068</v>
      </c>
      <c r="BR23" s="1075" t="s">
        <v>1588</v>
      </c>
      <c r="BS23" s="1436"/>
      <c r="BT23" s="1288">
        <v>4189675</v>
      </c>
      <c r="BU23" s="1075" t="s">
        <v>1589</v>
      </c>
      <c r="BV23" s="1077"/>
      <c r="BW23" s="1077"/>
      <c r="CC23" s="1288">
        <v>5110778</v>
      </c>
      <c r="CD23" s="1075" t="s">
        <v>1590</v>
      </c>
    </row>
    <row customHeight="1" ht="21">
      <c r="A24" s="1081" t="s">
        <v>1591</v>
      </c>
      <c r="B24" s="1082">
        <v>2022</v>
      </c>
      <c r="AW24" s="1127" t="s">
        <v>1592</v>
      </c>
      <c r="AX24" s="1127" t="s">
        <v>1592</v>
      </c>
      <c r="AZ24" s="1127" t="s">
        <v>1593</v>
      </c>
      <c r="BB24" s="1127" t="s">
        <v>1594</v>
      </c>
      <c r="BC24" s="1127" t="s">
        <v>1595</v>
      </c>
      <c r="BE24" s="1127">
        <v>2020</v>
      </c>
      <c r="BH24" s="1075" t="s">
        <v>1521</v>
      </c>
      <c r="BJ24" s="1075" t="s">
        <v>1477</v>
      </c>
      <c r="BL24" s="1075" t="s">
        <v>1477</v>
      </c>
      <c r="BQ24" s="1288">
        <v>4190069</v>
      </c>
      <c r="BR24" s="1075" t="s">
        <v>1596</v>
      </c>
      <c r="BS24" s="1436"/>
      <c r="BT24" s="1288">
        <v>4189676</v>
      </c>
      <c r="BU24" s="1075" t="s">
        <v>1597</v>
      </c>
      <c r="BV24" s="1077"/>
      <c r="BW24" s="1077"/>
      <c r="CC24" s="1288">
        <v>25575374</v>
      </c>
      <c r="CD24" s="1075" t="s">
        <v>1598</v>
      </c>
    </row>
    <row customHeight="1" ht="11.25">
      <c r="A25" s="1081" t="s">
        <v>1599</v>
      </c>
      <c r="B25" s="1082">
        <v>2023</v>
      </c>
      <c r="AW25" s="1127" t="s">
        <v>1600</v>
      </c>
      <c r="AX25" s="1127" t="s">
        <v>1600</v>
      </c>
      <c r="AZ25" s="1127" t="s">
        <v>1601</v>
      </c>
      <c r="BB25" s="1127" t="s">
        <v>1602</v>
      </c>
      <c r="BC25" s="1127" t="s">
        <v>1595</v>
      </c>
      <c r="BE25" s="1127">
        <v>2021</v>
      </c>
      <c r="BH25" s="1075" t="s">
        <v>1528</v>
      </c>
      <c r="BJ25" s="1075" t="s">
        <v>1553</v>
      </c>
      <c r="BL25" s="1075" t="s">
        <v>1553</v>
      </c>
      <c r="BQ25" s="1288">
        <v>4190070</v>
      </c>
      <c r="BR25" s="1075" t="s">
        <v>1603</v>
      </c>
      <c r="BS25" s="1436"/>
      <c r="BT25" s="1288">
        <v>4189677</v>
      </c>
      <c r="BU25" s="1075" t="s">
        <v>1604</v>
      </c>
      <c r="BV25" s="1077"/>
      <c r="BW25" s="1077"/>
    </row>
    <row customHeight="1" ht="11.25">
      <c r="A26" s="1081" t="s">
        <v>1605</v>
      </c>
      <c r="B26" s="1082">
        <v>2024</v>
      </c>
      <c r="J26" s="1737" t="s">
        <v>1606</v>
      </c>
      <c r="AX26" s="1127" t="s">
        <v>1607</v>
      </c>
      <c r="AZ26" s="1127" t="s">
        <v>1470</v>
      </c>
      <c r="BB26" s="1127" t="s">
        <v>1608</v>
      </c>
      <c r="BC26" s="1127" t="s">
        <v>1595</v>
      </c>
      <c r="BE26" s="1127">
        <v>2022</v>
      </c>
      <c r="BH26" s="1075" t="s">
        <v>1539</v>
      </c>
      <c r="BJ26" s="1075" t="s">
        <v>1489</v>
      </c>
      <c r="BL26" s="1075" t="s">
        <v>1489</v>
      </c>
      <c r="BQ26" s="1288">
        <v>4190071</v>
      </c>
      <c r="BR26" s="1075" t="s">
        <v>1609</v>
      </c>
      <c r="BS26" s="1436"/>
      <c r="BV26" s="1077"/>
      <c r="BW26" s="1077"/>
    </row>
    <row customHeight="1" ht="11.25">
      <c r="A27" s="1081" t="s">
        <v>1610</v>
      </c>
      <c r="B27" s="1082">
        <v>2025</v>
      </c>
      <c r="J27" s="183" t="s">
        <v>574</v>
      </c>
      <c r="AX27" s="1127" t="s">
        <v>1611</v>
      </c>
      <c r="BB27" s="1127" t="s">
        <v>1612</v>
      </c>
      <c r="BC27" s="1127" t="s">
        <v>1595</v>
      </c>
      <c r="BE27" s="1127">
        <v>2023</v>
      </c>
      <c r="BH27" s="1077" t="s">
        <v>22</v>
      </c>
      <c r="BJ27" s="1075" t="s">
        <v>1496</v>
      </c>
      <c r="BL27" s="1075" t="s">
        <v>1496</v>
      </c>
      <c r="BN27" s="1077" t="s">
        <v>22</v>
      </c>
      <c r="BQ27" s="1288">
        <v>4190072</v>
      </c>
      <c r="BR27" s="1075" t="s">
        <v>1613</v>
      </c>
      <c r="BS27" s="1436"/>
      <c r="BV27" s="1077"/>
      <c r="BW27" s="1077"/>
    </row>
    <row customHeight="1" ht="11.25">
      <c r="A28" s="1081" t="s">
        <v>1614</v>
      </c>
      <c r="D28" s="1108"/>
      <c r="E28" s="1109"/>
      <c r="F28" s="1109"/>
      <c r="H28" s="1110" t="s">
        <v>1615</v>
      </c>
      <c r="AX28" s="1127" t="s">
        <v>1616</v>
      </c>
      <c r="AZ28" s="1074" t="s">
        <v>1617</v>
      </c>
      <c r="BB28" s="1127" t="s">
        <v>1618</v>
      </c>
      <c r="BC28" s="1127" t="s">
        <v>1619</v>
      </c>
      <c r="BE28" s="1127">
        <v>2024</v>
      </c>
      <c r="BH28" s="1077" t="s">
        <v>22</v>
      </c>
      <c r="BJ28" s="1075" t="s">
        <v>1504</v>
      </c>
      <c r="BL28" s="1075" t="s">
        <v>1504</v>
      </c>
      <c r="BN28" s="1077" t="s">
        <v>22</v>
      </c>
      <c r="BQ28" s="1288">
        <v>4190073</v>
      </c>
      <c r="BR28" s="1075" t="s">
        <v>1620</v>
      </c>
      <c r="BS28" s="1436"/>
      <c r="BV28" s="1077"/>
      <c r="BW28" s="1077"/>
    </row>
    <row customHeight="1" ht="11.25">
      <c r="A29" s="1081" t="s">
        <v>1621</v>
      </c>
      <c r="D29" s="1111" t="s">
        <v>1622</v>
      </c>
      <c r="E29" s="1112" t="str">
        <f>IF(TEMPLATE_GROUP="","",INDEX(StartDateList,MATCH(TEMPLATE_GROUP,CodeTemplateList,0),1))</f>
        <v>01.01.2025</v>
      </c>
      <c r="F29" s="1112" t="str">
        <f>IF(TEMPLATE_GROUP="","",INDEX(EndDateList,MATCH(TEMPLATE_GROUP,CodeTemplateList,0),1))</f>
        <v>31.12.2025</v>
      </c>
      <c r="H29" s="1113" t="s">
        <v>1623</v>
      </c>
      <c r="AX29" s="1127" t="s">
        <v>1624</v>
      </c>
      <c r="AZ29" s="1127" t="s">
        <v>1266</v>
      </c>
      <c r="BB29" s="1127" t="s">
        <v>1470</v>
      </c>
      <c r="BC29" s="1098"/>
      <c r="BE29" s="1127">
        <v>2025</v>
      </c>
      <c r="BJ29" s="1075" t="s">
        <v>1512</v>
      </c>
      <c r="BL29" s="1075" t="s">
        <v>1512</v>
      </c>
    </row>
    <row customHeight="1" ht="11.25">
      <c r="A30" s="1081" t="s">
        <v>1625</v>
      </c>
      <c r="D30" s="1114"/>
      <c r="E30" s="1115"/>
      <c r="F30" s="1115"/>
      <c r="AX30" s="1127" t="s">
        <v>1626</v>
      </c>
      <c r="AZ30" s="1127" t="s">
        <v>1293</v>
      </c>
      <c r="BE30" s="1127">
        <v>2026</v>
      </c>
      <c r="BJ30" s="1075" t="s">
        <v>1627</v>
      </c>
      <c r="BL30" s="1075" t="s">
        <v>1627</v>
      </c>
    </row>
    <row customHeight="1" ht="12.75">
      <c r="A31" s="1081" t="s">
        <v>1628</v>
      </c>
      <c r="D31" s="1108"/>
      <c r="E31" s="1109"/>
      <c r="F31" s="1109"/>
      <c r="H31" s="1116"/>
      <c r="AX31" s="1127" t="s">
        <v>1629</v>
      </c>
      <c r="AZ31" s="1127" t="s">
        <v>1630</v>
      </c>
      <c r="BE31" s="1127">
        <v>2027</v>
      </c>
      <c r="BJ31" s="1075" t="s">
        <v>1631</v>
      </c>
      <c r="BL31" s="1075" t="s">
        <v>1631</v>
      </c>
    </row>
    <row customHeight="1" ht="11.25">
      <c r="A32" s="1081" t="s">
        <v>1632</v>
      </c>
      <c r="D32" s="1111" t="s">
        <v>1633</v>
      </c>
      <c r="E32" s="1112" t="str">
        <f>IF(TEMPLATE_GROUP="","",INDEX(StartDateList,MATCH(TEMPLATE_GROUP,CodeTemplateList,0),1))</f>
        <v>01.01.2025</v>
      </c>
      <c r="F32" s="1112" t="str">
        <f>IF(TEMPLATE_GROUP="","",INDEX(EndDateList,MATCH(TEMPLATE_GROUP,CodeTemplateList,0),1))</f>
        <v>31.12.2025</v>
      </c>
      <c r="H32" s="1117" t="s">
        <v>1634</v>
      </c>
      <c r="O32" s="1081" t="s">
        <v>1264</v>
      </c>
      <c r="AX32" s="1127" t="s">
        <v>1635</v>
      </c>
      <c r="AZ32" s="1127" t="s">
        <v>1362</v>
      </c>
      <c r="BE32" s="1127">
        <v>2028</v>
      </c>
      <c r="BJ32" s="1075" t="s">
        <v>1521</v>
      </c>
      <c r="BL32" s="1075" t="s">
        <v>1521</v>
      </c>
    </row>
    <row customHeight="1" ht="11.25">
      <c r="A33" s="1081" t="s">
        <v>1636</v>
      </c>
      <c r="O33" s="1081" t="s">
        <v>1290</v>
      </c>
      <c r="AX33" s="1127" t="s">
        <v>1637</v>
      </c>
      <c r="AZ33" s="1127" t="s">
        <v>1265</v>
      </c>
      <c r="BE33" s="1127">
        <v>2029</v>
      </c>
      <c r="BJ33" s="1075" t="s">
        <v>1528</v>
      </c>
      <c r="BL33" s="1075" t="s">
        <v>1528</v>
      </c>
    </row>
    <row customHeight="1" ht="11.25">
      <c r="A34" s="1081" t="s">
        <v>1638</v>
      </c>
      <c r="O34" s="1081" t="s">
        <v>1326</v>
      </c>
      <c r="AX34" s="1127" t="s">
        <v>1639</v>
      </c>
      <c r="BE34" s="1127">
        <v>2030</v>
      </c>
      <c r="BJ34" s="1075" t="s">
        <v>1539</v>
      </c>
      <c r="BL34" s="1075" t="s">
        <v>1539</v>
      </c>
    </row>
    <row customHeight="1" ht="11.25">
      <c r="A35" s="1081" t="s">
        <v>1640</v>
      </c>
      <c r="O35" s="1081" t="s">
        <v>1360</v>
      </c>
      <c r="AX35" s="1127" t="s">
        <v>1641</v>
      </c>
      <c r="AZ35" s="1074" t="s">
        <v>1642</v>
      </c>
      <c r="BE35" s="1127">
        <v>2031</v>
      </c>
      <c r="BL35" s="1075" t="s">
        <v>1643</v>
      </c>
    </row>
    <row customHeight="1" ht="11.25">
      <c r="A36" s="1874" t="s">
        <v>1644</v>
      </c>
      <c r="D36" s="1118" t="s">
        <v>1645</v>
      </c>
      <c r="E36" s="1119" t="s">
        <v>934</v>
      </c>
      <c r="F36" s="1120" t="str">
        <f>INDEX(E37:E41,MATCH(TEMPLATE_SPHERE,F37:F41,0))</f>
        <v>водоотведения</v>
      </c>
      <c r="G36" s="1120" t="str">
        <f>INDEX(G37:G41,MATCH(TEMPLATE_SPHERE,F37:F41,0))</f>
        <v>водоотведение</v>
      </c>
      <c r="O36" s="1081" t="s">
        <v>1384</v>
      </c>
      <c r="AX36" s="1127" t="s">
        <v>1646</v>
      </c>
      <c r="AZ36" s="1127" t="s">
        <v>1265</v>
      </c>
      <c r="BE36" s="1127">
        <v>2032</v>
      </c>
      <c r="BL36" s="1075" t="s">
        <v>1061</v>
      </c>
    </row>
    <row customHeight="1" ht="11.25">
      <c r="A37" s="1081" t="s">
        <v>1647</v>
      </c>
      <c r="E37" s="414" t="s">
        <v>1648</v>
      </c>
      <c r="F37" s="1121" t="s">
        <v>835</v>
      </c>
      <c r="G37" s="414" t="s">
        <v>1649</v>
      </c>
      <c r="O37" s="1081" t="s">
        <v>1403</v>
      </c>
      <c r="AX37" s="1127" t="s">
        <v>1650</v>
      </c>
      <c r="AZ37" s="1127" t="s">
        <v>1292</v>
      </c>
      <c r="BE37" s="1127">
        <v>2033</v>
      </c>
    </row>
    <row customHeight="1" ht="11.25">
      <c r="A38" s="1081" t="s">
        <v>1651</v>
      </c>
      <c r="E38" s="414" t="s">
        <v>1652</v>
      </c>
      <c r="F38" s="1122" t="s">
        <v>881</v>
      </c>
      <c r="G38" s="414" t="s">
        <v>1653</v>
      </c>
      <c r="O38" s="1081" t="s">
        <v>1420</v>
      </c>
      <c r="AX38" s="1127" t="s">
        <v>1654</v>
      </c>
      <c r="AZ38" s="1127" t="s">
        <v>1327</v>
      </c>
      <c r="BE38" s="1127">
        <v>2034</v>
      </c>
      <c r="BH38" s="1074" t="s">
        <v>1655</v>
      </c>
      <c r="BJ38" s="1074" t="s">
        <v>1656</v>
      </c>
      <c r="BL38" s="1074" t="s">
        <v>1657</v>
      </c>
      <c r="BN38" s="1074" t="s">
        <v>1658</v>
      </c>
    </row>
    <row customHeight="1" ht="11.25">
      <c r="A39" s="1081" t="s">
        <v>1659</v>
      </c>
      <c r="E39" s="414" t="s">
        <v>1660</v>
      </c>
      <c r="F39" s="1122" t="s">
        <v>934</v>
      </c>
      <c r="G39" s="414" t="s">
        <v>1661</v>
      </c>
      <c r="O39" s="1081" t="s">
        <v>1436</v>
      </c>
      <c r="AX39" s="1127" t="s">
        <v>1662</v>
      </c>
      <c r="AZ39" s="1127" t="s">
        <v>1361</v>
      </c>
      <c r="BE39" s="1127">
        <v>2035</v>
      </c>
      <c r="BH39" s="1075" t="s">
        <v>1663</v>
      </c>
      <c r="BJ39" s="1224" t="s">
        <v>1663</v>
      </c>
      <c r="BL39" s="1224" t="s">
        <v>1663</v>
      </c>
      <c r="BN39" s="1075" t="s">
        <v>583</v>
      </c>
    </row>
    <row customHeight="1" ht="11.25">
      <c r="A40" s="1081" t="s">
        <v>1664</v>
      </c>
      <c r="E40" s="414" t="s">
        <v>1665</v>
      </c>
      <c r="F40" s="1122" t="s">
        <v>921</v>
      </c>
      <c r="G40" s="414" t="s">
        <v>1666</v>
      </c>
      <c r="O40" s="1081" t="s">
        <v>1453</v>
      </c>
      <c r="AX40" s="1127" t="s">
        <v>1667</v>
      </c>
      <c r="BE40" s="1127">
        <v>2036</v>
      </c>
      <c r="BH40" s="1075" t="s">
        <v>1668</v>
      </c>
      <c r="BJ40" s="1224" t="s">
        <v>1074</v>
      </c>
      <c r="BL40" s="1224" t="s">
        <v>1074</v>
      </c>
      <c r="BN40" s="1075" t="s">
        <v>1108</v>
      </c>
    </row>
    <row customHeight="1" ht="11.25">
      <c r="A41" s="1081" t="s">
        <v>1669</v>
      </c>
      <c r="E41" s="414" t="s">
        <v>1670</v>
      </c>
      <c r="F41" s="1122" t="s">
        <v>1671</v>
      </c>
      <c r="G41" s="414" t="s">
        <v>1670</v>
      </c>
      <c r="O41" s="1081" t="s">
        <v>1470</v>
      </c>
      <c r="AX41" s="1127" t="s">
        <v>1672</v>
      </c>
      <c r="AZ41" s="1074" t="s">
        <v>1673</v>
      </c>
      <c r="BE41" s="1127">
        <v>2037</v>
      </c>
      <c r="BH41" s="1075" t="s">
        <v>1674</v>
      </c>
      <c r="BJ41" s="1224" t="s">
        <v>1070</v>
      </c>
      <c r="BL41" s="1224" t="s">
        <v>1070</v>
      </c>
      <c r="BN41" s="1075" t="s">
        <v>1095</v>
      </c>
    </row>
    <row customHeight="1" ht="11.25">
      <c r="A42" s="1081" t="s">
        <v>1675</v>
      </c>
      <c r="AX42" s="1127" t="s">
        <v>1676</v>
      </c>
      <c r="AZ42" s="1127" t="s">
        <v>1264</v>
      </c>
      <c r="BE42" s="1127">
        <v>2038</v>
      </c>
      <c r="BH42" s="1075" t="s">
        <v>1092</v>
      </c>
      <c r="BJ42" s="1224" t="s">
        <v>1072</v>
      </c>
      <c r="BL42" s="1224" t="s">
        <v>1072</v>
      </c>
      <c r="BN42" s="1075" t="s">
        <v>1677</v>
      </c>
    </row>
    <row customHeight="1" ht="11.25">
      <c r="A43" s="1081" t="s">
        <v>1678</v>
      </c>
      <c r="AX43" s="1127" t="s">
        <v>1679</v>
      </c>
      <c r="AZ43" s="1127" t="s">
        <v>1290</v>
      </c>
      <c r="BE43" s="1127">
        <v>2039</v>
      </c>
      <c r="BH43" s="1075" t="s">
        <v>1680</v>
      </c>
      <c r="BJ43" s="1224" t="s">
        <v>1674</v>
      </c>
      <c r="BL43" s="1224" t="s">
        <v>1674</v>
      </c>
      <c r="BN43" s="1075" t="s">
        <v>1681</v>
      </c>
    </row>
    <row customHeight="1" ht="11.25">
      <c r="A44" s="1081" t="s">
        <v>1682</v>
      </c>
      <c r="G44" s="1101">
        <f>YEAR(TODAY())</f>
        <v>2026</v>
      </c>
      <c r="I44" s="806" t="s">
        <v>1683</v>
      </c>
      <c r="J44" s="1096" t="s">
        <v>1684</v>
      </c>
      <c r="K44" s="1096" t="s">
        <v>1685</v>
      </c>
      <c r="AX44" s="1127" t="s">
        <v>1686</v>
      </c>
      <c r="AZ44" s="1127" t="s">
        <v>1326</v>
      </c>
      <c r="BE44" s="1127">
        <v>2040</v>
      </c>
      <c r="BH44" s="1075" t="s">
        <v>1687</v>
      </c>
      <c r="BJ44" s="1224" t="s">
        <v>1092</v>
      </c>
      <c r="BL44" s="1224" t="s">
        <v>1092</v>
      </c>
      <c r="BN44" s="1075" t="s">
        <v>1688</v>
      </c>
    </row>
    <row customHeight="1" ht="11.25">
      <c r="A45" s="1081" t="s">
        <v>1689</v>
      </c>
      <c r="D45" s="1118" t="s">
        <v>1690</v>
      </c>
      <c r="E45" s="1119" t="s">
        <v>1691</v>
      </c>
      <c r="F45" s="804" t="s">
        <v>1692</v>
      </c>
      <c r="G45" s="803" t="s">
        <v>1693</v>
      </c>
      <c r="H45" s="806" t="s">
        <v>1694</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1695</v>
      </c>
      <c r="AZ45" s="1127" t="s">
        <v>1360</v>
      </c>
      <c r="BE45" s="1127">
        <v>2041</v>
      </c>
      <c r="BH45" s="1075" t="s">
        <v>1696</v>
      </c>
      <c r="BJ45" s="1224" t="s">
        <v>1086</v>
      </c>
      <c r="BL45" s="1224" t="s">
        <v>1086</v>
      </c>
      <c r="BN45" s="1075" t="s">
        <v>1697</v>
      </c>
    </row>
    <row customHeight="1" ht="11.25">
      <c r="A46" s="1081" t="s">
        <v>1698</v>
      </c>
      <c r="E46" s="414" t="s">
        <v>27</v>
      </c>
      <c r="F46" s="1121" t="s">
        <v>1699</v>
      </c>
      <c r="G46" s="1123" t="str">
        <f>_xlfn.IFERROR(IF(TITLE_DATE_FIL="","01.01."&amp;CURRENT_YEAR,"01.01."&amp;YEAR(TITLE_DATE_FIL)),"01.01."&amp;CURRENT_YEAR)</f>
        <v>01.01.2026</v>
      </c>
      <c r="H46" s="1123"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7" t="s">
        <v>1700</v>
      </c>
      <c r="AZ46" s="1127" t="s">
        <v>1384</v>
      </c>
      <c r="BE46" s="1127">
        <v>2042</v>
      </c>
      <c r="BH46" s="1075" t="s">
        <v>1095</v>
      </c>
      <c r="BJ46" s="1224" t="s">
        <v>1076</v>
      </c>
      <c r="BL46" s="1224" t="s">
        <v>1076</v>
      </c>
      <c r="BN46" s="1075" t="s">
        <v>1701</v>
      </c>
    </row>
    <row customHeight="1" ht="11.25">
      <c r="A47" s="1081" t="s">
        <v>1702</v>
      </c>
      <c r="E47" s="414" t="s">
        <v>33</v>
      </c>
      <c r="F47" s="1122" t="s">
        <v>1703</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7" t="s">
        <v>1704</v>
      </c>
      <c r="AZ47" s="1127" t="s">
        <v>1403</v>
      </c>
      <c r="BE47" s="1127">
        <v>2043</v>
      </c>
      <c r="BH47" s="1075" t="s">
        <v>1677</v>
      </c>
      <c r="BJ47" s="1224" t="s">
        <v>1078</v>
      </c>
      <c r="BL47" s="1224" t="s">
        <v>1078</v>
      </c>
      <c r="BN47" s="1075" t="s">
        <v>1705</v>
      </c>
    </row>
    <row customHeight="1" ht="11.25">
      <c r="A48" s="1081" t="s">
        <v>1706</v>
      </c>
      <c r="E48" s="414" t="s">
        <v>1707</v>
      </c>
      <c r="F48" s="1122" t="s">
        <v>1691</v>
      </c>
      <c r="G48" s="1123" t="str">
        <f>_xlfn.IFERROR(IF(f_year="","01.01."&amp;CURRENT_YEAR,"01.01."&amp;f_year),"01.01."&amp;CURRENT_YEAR)</f>
        <v>01.01.2025</v>
      </c>
      <c r="H48" s="1123" t="str">
        <f>_xlfn.IFERROR(IF(f_year="","31.12."&amp;CURRENT_YEAR,"31.12."&amp;f_year),"31.12."&amp;CURRENT_YEAR)</f>
        <v>31.12.2025</v>
      </c>
      <c r="I48" s="1748">
        <f>IF(f_year="",TRUE,FALSE)</f>
        <v>0</v>
      </c>
      <c r="J48" s="1751" t="s">
        <v>1708</v>
      </c>
      <c r="K48" s="1752"/>
      <c r="AX48" s="1127" t="s">
        <v>1709</v>
      </c>
      <c r="AZ48" s="1127" t="s">
        <v>1420</v>
      </c>
      <c r="BE48" s="1127">
        <v>2044</v>
      </c>
      <c r="BH48" s="1075" t="s">
        <v>1681</v>
      </c>
      <c r="BJ48" s="1224" t="s">
        <v>1080</v>
      </c>
      <c r="BL48" s="1224" t="s">
        <v>1080</v>
      </c>
      <c r="BN48" s="1075" t="s">
        <v>1710</v>
      </c>
    </row>
    <row customHeight="1" ht="11.25">
      <c r="A49" s="1081" t="s">
        <v>1711</v>
      </c>
      <c r="E49" s="414" t="s">
        <v>1712</v>
      </c>
      <c r="F49" s="1122" t="s">
        <v>1713</v>
      </c>
      <c r="G49" s="1123" t="str">
        <f>_xlfn.IFERROR(IF(f_year="","01.01."&amp;CURRENT_YEAR,"01.01."&amp;f_year),"01.01."&amp;CURRENT_YEAR)</f>
        <v>01.01.2025</v>
      </c>
      <c r="H49" s="1123"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7" t="s">
        <v>1714</v>
      </c>
      <c r="AZ49" s="1127" t="s">
        <v>1436</v>
      </c>
      <c r="BE49" s="1127">
        <v>2045</v>
      </c>
      <c r="BH49" s="1075" t="s">
        <v>1096</v>
      </c>
      <c r="BJ49" s="1224" t="s">
        <v>1082</v>
      </c>
      <c r="BL49" s="1224" t="s">
        <v>1082</v>
      </c>
    </row>
    <row customHeight="1" ht="11.25">
      <c r="A50" s="1081" t="s">
        <v>1715</v>
      </c>
      <c r="E50" s="414" t="s">
        <v>1716</v>
      </c>
      <c r="F50" s="1122" t="s">
        <v>1066</v>
      </c>
      <c r="G50" s="1123" t="str">
        <f>_xlfn.IFERROR(IF(f_year="","01.01."&amp;CURRENT_YEAR,"01.01."&amp;f_year),"01.01."&amp;CURRENT_YEAR)</f>
        <v>01.01.2025</v>
      </c>
      <c r="H50" s="1123"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7" t="s">
        <v>1717</v>
      </c>
      <c r="AZ50" s="1127" t="s">
        <v>1453</v>
      </c>
      <c r="BE50" s="1127">
        <v>2046</v>
      </c>
      <c r="BH50" s="1075" t="s">
        <v>1688</v>
      </c>
      <c r="BJ50" s="1224" t="s">
        <v>1084</v>
      </c>
      <c r="BL50" s="1224" t="s">
        <v>1084</v>
      </c>
    </row>
    <row customHeight="1" ht="11.25">
      <c r="A51" s="1081" t="s">
        <v>1718</v>
      </c>
      <c r="E51" s="414" t="s">
        <v>1719</v>
      </c>
      <c r="F51" s="1122" t="s">
        <v>1720</v>
      </c>
      <c r="G51" s="1123" t="str">
        <f>_xlfn.IFERROR(IF(TITLE_PERIOD_START="","01.01."&amp;CURRENT_YEAR,"01.01."&amp;YEAR(TITLE_PERIOD_START)),"01.01."&amp;CURRENT_YEAR)</f>
        <v>01.01.2026</v>
      </c>
      <c r="H51" s="1123"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1721</v>
      </c>
      <c r="AZ51" s="1127" t="s">
        <v>1470</v>
      </c>
      <c r="BE51" s="1127">
        <v>2047</v>
      </c>
      <c r="BH51" s="1075" t="s">
        <v>1697</v>
      </c>
      <c r="BJ51" s="1224" t="s">
        <v>1722</v>
      </c>
      <c r="BL51" s="1224" t="s">
        <v>1722</v>
      </c>
    </row>
    <row customHeight="1" ht="11.25">
      <c r="A52" s="1081" t="s">
        <v>1723</v>
      </c>
      <c r="E52" s="414" t="s">
        <v>1724</v>
      </c>
      <c r="F52" s="1122" t="s">
        <v>1725</v>
      </c>
      <c r="G52" s="1123" t="str">
        <f>_xlfn.IFERROR(IF(TITLE_PERIOD_START="","01.01."&amp;CURRENT_YEAR,"01.01."&amp;YEAR(TITLE_PERIOD_START)),"01.01."&amp;CURRENT_YEAR)</f>
        <v>01.01.2026</v>
      </c>
      <c r="H52" s="1123"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7" t="s">
        <v>1726</v>
      </c>
      <c r="AZ52" s="1127" t="s">
        <v>1265</v>
      </c>
      <c r="BE52" s="1127">
        <v>2048</v>
      </c>
      <c r="BH52" s="1075" t="s">
        <v>1701</v>
      </c>
      <c r="BJ52" s="1224" t="s">
        <v>1095</v>
      </c>
      <c r="BL52" s="1224" t="s">
        <v>1095</v>
      </c>
    </row>
    <row customHeight="1" ht="11.25">
      <c r="A53" s="1081" t="s">
        <v>1727</v>
      </c>
      <c r="E53" s="414" t="s">
        <v>1728</v>
      </c>
      <c r="F53" s="1122" t="s">
        <v>1728</v>
      </c>
      <c r="G53" s="1123" t="str">
        <f>_xlfn.IFERROR(IF(f_year="","01.01."&amp;CURRENT_YEAR,"01.01."&amp;f_year),"01.01."&amp;CURRENT_YEAR)</f>
        <v>01.01.2025</v>
      </c>
      <c r="H53" s="1123" t="str">
        <f>_xlfn.IFERROR(IF(f_year="","31.12."&amp;CURRENT_YEAR,"31.12."&amp;f_year),"31.12."&amp;CURRENT_YEAR)</f>
        <v>31.12.2025</v>
      </c>
      <c r="I53" s="1748">
        <f>IF(AND(f_year="",TITLE_DATE_FIL=""),TRUE,FALSE)</f>
        <v>0</v>
      </c>
      <c r="J53" s="1751" t="s">
        <v>1729</v>
      </c>
      <c r="K53" s="1752"/>
      <c r="AX53" s="1127" t="s">
        <v>1730</v>
      </c>
      <c r="BE53" s="1127">
        <v>2049</v>
      </c>
      <c r="BH53" s="1075" t="s">
        <v>1705</v>
      </c>
      <c r="BJ53" s="1224" t="s">
        <v>1677</v>
      </c>
      <c r="BL53" s="1224" t="s">
        <v>1677</v>
      </c>
    </row>
    <row customHeight="1" ht="11.25">
      <c r="A54" s="1081" t="s">
        <v>1731</v>
      </c>
      <c r="AX54" s="1127" t="s">
        <v>1732</v>
      </c>
      <c r="AZ54" s="1074" t="s">
        <v>1733</v>
      </c>
      <c r="BE54" s="1127">
        <v>2050</v>
      </c>
      <c r="BH54" s="1075" t="s">
        <v>1710</v>
      </c>
      <c r="BJ54" s="1224" t="s">
        <v>1681</v>
      </c>
      <c r="BL54" s="1224" t="s">
        <v>1681</v>
      </c>
    </row>
    <row customHeight="1" ht="11.25">
      <c r="A55" s="1081" t="s">
        <v>1734</v>
      </c>
      <c r="AX55" s="1127" t="s">
        <v>1735</v>
      </c>
      <c r="AZ55" s="1127" t="s">
        <v>1267</v>
      </c>
      <c r="BE55" s="1127">
        <v>2051</v>
      </c>
      <c r="BH55" s="1077" t="s">
        <v>22</v>
      </c>
      <c r="BJ55" s="1224" t="s">
        <v>1096</v>
      </c>
      <c r="BL55" s="1224" t="s">
        <v>1096</v>
      </c>
    </row>
    <row customHeight="1" ht="11.25">
      <c r="A56" s="1081" t="s">
        <v>1736</v>
      </c>
      <c r="D56" s="1125" t="s">
        <v>1737</v>
      </c>
      <c r="E56" s="1102" t="s">
        <v>111</v>
      </c>
      <c r="F56" s="1081" t="s">
        <v>1738</v>
      </c>
      <c r="AX56" s="1127" t="s">
        <v>1739</v>
      </c>
      <c r="AZ56" s="1127" t="s">
        <v>1294</v>
      </c>
      <c r="BE56" s="1127">
        <v>2052</v>
      </c>
      <c r="BH56" s="1077" t="s">
        <v>22</v>
      </c>
      <c r="BJ56" s="1224" t="s">
        <v>1688</v>
      </c>
      <c r="BL56" s="1224" t="s">
        <v>1688</v>
      </c>
    </row>
    <row customHeight="1" ht="11.25">
      <c r="A57" s="1081" t="s">
        <v>1740</v>
      </c>
      <c r="D57" s="1125" t="s">
        <v>1741</v>
      </c>
      <c r="E57" s="1102" t="s">
        <v>111</v>
      </c>
      <c r="F57" s="1081" t="s">
        <v>1738</v>
      </c>
      <c r="AX57" s="1127" t="s">
        <v>1742</v>
      </c>
      <c r="AZ57" s="1127" t="s">
        <v>1329</v>
      </c>
      <c r="BE57" s="1127">
        <v>2053</v>
      </c>
      <c r="BJ57" s="1224" t="s">
        <v>1697</v>
      </c>
      <c r="BL57" s="1224" t="s">
        <v>1697</v>
      </c>
    </row>
    <row customHeight="1" ht="11.25">
      <c r="A58" s="1081" t="s">
        <v>1743</v>
      </c>
      <c r="D58" s="1125" t="s">
        <v>1744</v>
      </c>
      <c r="E58" s="1102" t="s">
        <v>1745</v>
      </c>
      <c r="F58" s="1081" t="s">
        <v>1738</v>
      </c>
      <c r="AX58" s="1127" t="s">
        <v>1746</v>
      </c>
      <c r="BE58" s="1127">
        <v>2054</v>
      </c>
      <c r="BJ58" s="1224" t="s">
        <v>1701</v>
      </c>
      <c r="BL58" s="1224" t="s">
        <v>1701</v>
      </c>
    </row>
    <row customHeight="1" ht="11.25">
      <c r="A59" s="1081" t="s">
        <v>1747</v>
      </c>
      <c r="D59" s="1125" t="s">
        <v>132</v>
      </c>
      <c r="E59" s="1102" t="s">
        <v>1635</v>
      </c>
      <c r="F59" s="1081" t="s">
        <v>1748</v>
      </c>
      <c r="AX59" s="1127" t="s">
        <v>1749</v>
      </c>
      <c r="AZ59" s="1074" t="s">
        <v>1750</v>
      </c>
      <c r="BE59" s="1127">
        <v>2055</v>
      </c>
      <c r="BJ59" s="1224" t="s">
        <v>1705</v>
      </c>
      <c r="BL59" s="1224" t="s">
        <v>1705</v>
      </c>
    </row>
    <row customHeight="1" ht="11.25">
      <c r="A60" s="1081" t="s">
        <v>1751</v>
      </c>
      <c r="D60" s="1125" t="s">
        <v>1752</v>
      </c>
      <c r="E60" s="1102" t="s">
        <v>1635</v>
      </c>
      <c r="F60" s="1081" t="s">
        <v>1748</v>
      </c>
      <c r="AX60" s="1127" t="s">
        <v>1753</v>
      </c>
      <c r="AZ60" s="1127" t="s">
        <v>1268</v>
      </c>
      <c r="BE60" s="1127">
        <v>2056</v>
      </c>
      <c r="BJ60" s="1224" t="s">
        <v>1710</v>
      </c>
      <c r="BL60" s="1224" t="s">
        <v>1710</v>
      </c>
    </row>
    <row customHeight="1" ht="11.25">
      <c r="A61" s="1081" t="s">
        <v>1754</v>
      </c>
      <c r="D61" s="1125" t="s">
        <v>1755</v>
      </c>
      <c r="E61" s="1102" t="s">
        <v>1635</v>
      </c>
      <c r="F61" s="1081" t="s">
        <v>1748</v>
      </c>
      <c r="AX61" s="1127" t="s">
        <v>1756</v>
      </c>
      <c r="AZ61" s="1127" t="s">
        <v>1295</v>
      </c>
      <c r="BE61" s="1127">
        <v>2057</v>
      </c>
      <c r="BL61" s="1224" t="s">
        <v>1088</v>
      </c>
    </row>
    <row customHeight="1" ht="11.25">
      <c r="A62" s="1081" t="s">
        <v>1757</v>
      </c>
      <c r="D62" s="1125" t="s">
        <v>131</v>
      </c>
      <c r="E62" s="1102">
        <v>30</v>
      </c>
      <c r="F62" s="1081" t="s">
        <v>1748</v>
      </c>
      <c r="AZ62" s="1127" t="s">
        <v>1330</v>
      </c>
      <c r="BE62" s="1127">
        <v>2058</v>
      </c>
      <c r="BL62" s="1224" t="s">
        <v>1090</v>
      </c>
    </row>
    <row customHeight="1" ht="11.25">
      <c r="A63" s="1081" t="s">
        <v>1758</v>
      </c>
      <c r="D63" s="1125" t="s">
        <v>1759</v>
      </c>
      <c r="E63" s="1102">
        <v>30</v>
      </c>
      <c r="F63" s="1081" t="s">
        <v>1748</v>
      </c>
      <c r="AZ63" s="1127" t="s">
        <v>1363</v>
      </c>
      <c r="BE63" s="1127">
        <v>2059</v>
      </c>
    </row>
    <row customHeight="1" ht="11.25">
      <c r="A64" s="1081" t="s">
        <v>1760</v>
      </c>
      <c r="D64" s="1125" t="s">
        <v>1761</v>
      </c>
      <c r="E64" s="1102">
        <v>30</v>
      </c>
      <c r="F64" s="1081" t="s">
        <v>1748</v>
      </c>
      <c r="AZ64" s="1127" t="s">
        <v>1385</v>
      </c>
      <c r="BE64" s="1127">
        <v>2060</v>
      </c>
    </row>
    <row customHeight="1" ht="11.25">
      <c r="A65" s="1081" t="s">
        <v>1762</v>
      </c>
      <c r="D65" s="1081"/>
      <c r="BE65" s="1127">
        <v>2061</v>
      </c>
    </row>
    <row customHeight="1" ht="11.25">
      <c r="A66" s="1081" t="s">
        <v>1763</v>
      </c>
      <c r="AZ66" s="1074" t="s">
        <v>1764</v>
      </c>
      <c r="BE66" s="1127">
        <v>2062</v>
      </c>
    </row>
    <row customHeight="1" ht="11.25">
      <c r="A67" s="1081" t="s">
        <v>1765</v>
      </c>
      <c r="AZ67" s="1127" t="s">
        <v>1269</v>
      </c>
      <c r="BE67" s="1127">
        <v>2063</v>
      </c>
    </row>
    <row customHeight="1" ht="11.25">
      <c r="A68" s="1081" t="s">
        <v>1766</v>
      </c>
      <c r="AZ68" s="1127" t="s">
        <v>1296</v>
      </c>
      <c r="BE68" s="1127">
        <v>2064</v>
      </c>
      <c r="BH68" s="1074" t="s">
        <v>1767</v>
      </c>
      <c r="BJ68" s="1074" t="s">
        <v>1768</v>
      </c>
      <c r="BL68" s="1074" t="s">
        <v>1769</v>
      </c>
      <c r="BN68" s="1074" t="s">
        <v>1770</v>
      </c>
    </row>
    <row customHeight="1" ht="11.25">
      <c r="A69" s="1081" t="s">
        <v>1771</v>
      </c>
      <c r="AZ69" s="1127" t="s">
        <v>1331</v>
      </c>
      <c r="BE69" s="1127">
        <v>2065</v>
      </c>
      <c r="BH69" s="1075" t="s">
        <v>1772</v>
      </c>
      <c r="BI69" s="1124" t="s">
        <v>109</v>
      </c>
      <c r="BJ69" s="1075" t="s">
        <v>1773</v>
      </c>
      <c r="BK69" s="1124" t="s">
        <v>109</v>
      </c>
      <c r="BL69" s="1075" t="s">
        <v>1774</v>
      </c>
      <c r="BM69" s="1077" t="s">
        <v>109</v>
      </c>
      <c r="BN69" s="1075" t="s">
        <v>1775</v>
      </c>
    </row>
    <row customHeight="1" ht="11.25">
      <c r="A70" s="1081" t="s">
        <v>1776</v>
      </c>
      <c r="AZ70" s="1127" t="s">
        <v>1364</v>
      </c>
      <c r="BE70" s="1127">
        <v>2066</v>
      </c>
      <c r="BH70" s="1075" t="s">
        <v>1777</v>
      </c>
      <c r="BJ70" s="1075" t="s">
        <v>1778</v>
      </c>
      <c r="BL70" s="1075" t="s">
        <v>1779</v>
      </c>
      <c r="BN70" s="1075" t="s">
        <v>1780</v>
      </c>
    </row>
    <row customHeight="1" ht="11.25">
      <c r="A71" s="1081" t="s">
        <v>1781</v>
      </c>
      <c r="AZ71" s="1127" t="s">
        <v>1366</v>
      </c>
      <c r="BE71" s="1127">
        <v>2067</v>
      </c>
      <c r="BH71" s="1075" t="s">
        <v>1782</v>
      </c>
      <c r="BI71" s="1124" t="s">
        <v>90</v>
      </c>
      <c r="BJ71" s="1075" t="s">
        <v>1783</v>
      </c>
      <c r="BK71" s="1124" t="s">
        <v>90</v>
      </c>
      <c r="BL71" s="1075" t="s">
        <v>1784</v>
      </c>
      <c r="BM71" s="1077" t="s">
        <v>90</v>
      </c>
      <c r="BN71" s="1075" t="s">
        <v>1785</v>
      </c>
    </row>
    <row customHeight="1" ht="11.25">
      <c r="A72" s="1081" t="s">
        <v>1786</v>
      </c>
      <c r="AZ72" s="1127" t="s">
        <v>19</v>
      </c>
      <c r="BE72" s="1127">
        <v>2068</v>
      </c>
      <c r="BH72" s="1075" t="s">
        <v>1787</v>
      </c>
      <c r="BJ72" s="1075" t="s">
        <v>1787</v>
      </c>
      <c r="BL72" s="1075" t="s">
        <v>1787</v>
      </c>
      <c r="BN72" s="1075" t="s">
        <v>1788</v>
      </c>
    </row>
    <row customHeight="1" ht="11.25">
      <c r="A73" s="1081" t="s">
        <v>16</v>
      </c>
      <c r="BE73" s="1127">
        <v>2069</v>
      </c>
      <c r="BH73" s="1075" t="s">
        <v>1789</v>
      </c>
      <c r="BI73" s="1124" t="s">
        <v>111</v>
      </c>
      <c r="BJ73" s="1075" t="s">
        <v>1790</v>
      </c>
      <c r="BK73" s="1124" t="s">
        <v>111</v>
      </c>
      <c r="BL73" s="1075" t="s">
        <v>1791</v>
      </c>
      <c r="BM73" s="1077" t="s">
        <v>111</v>
      </c>
      <c r="BN73" s="1075" t="s">
        <v>1792</v>
      </c>
    </row>
    <row customHeight="1" ht="11.25">
      <c r="A74" s="1081" t="s">
        <v>1793</v>
      </c>
      <c r="BE74" s="1127">
        <v>2070</v>
      </c>
      <c r="BH74" s="1075" t="s">
        <v>1794</v>
      </c>
      <c r="BJ74" s="1075" t="s">
        <v>1795</v>
      </c>
      <c r="BL74" s="1075" t="s">
        <v>1796</v>
      </c>
      <c r="BN74" s="1075" t="s">
        <v>1797</v>
      </c>
    </row>
    <row customHeight="1" ht="11.25">
      <c r="A75" s="1081" t="s">
        <v>1798</v>
      </c>
      <c r="AZ75" s="1074" t="s">
        <v>1799</v>
      </c>
      <c r="BH75" s="1075" t="s">
        <v>1800</v>
      </c>
      <c r="BJ75" s="1075" t="s">
        <v>1800</v>
      </c>
      <c r="BL75" s="1075" t="s">
        <v>1800</v>
      </c>
    </row>
    <row customHeight="1" ht="11.25">
      <c r="A76" s="1081" t="s">
        <v>1801</v>
      </c>
      <c r="AZ76" s="1127" t="s">
        <v>1278</v>
      </c>
      <c r="BH76" s="1075" t="s">
        <v>1802</v>
      </c>
      <c r="BJ76" s="1075" t="s">
        <v>1803</v>
      </c>
      <c r="BL76" s="1075" t="s">
        <v>1804</v>
      </c>
    </row>
    <row customHeight="1" ht="11.25">
      <c r="A77" s="1081" t="s">
        <v>1805</v>
      </c>
      <c r="AZ77" s="1127" t="s">
        <v>1306</v>
      </c>
    </row>
    <row customHeight="1" ht="11.25">
      <c r="A78" s="1081" t="s">
        <v>1806</v>
      </c>
      <c r="AZ78" s="1127" t="s">
        <v>1338</v>
      </c>
    </row>
    <row customHeight="1" ht="11.25">
      <c r="A79" s="1081" t="s">
        <v>1807</v>
      </c>
      <c r="AZ79" s="1127" t="s">
        <v>1370</v>
      </c>
      <c r="BH79" s="1074" t="s">
        <v>1808</v>
      </c>
      <c r="BJ79" s="1074" t="s">
        <v>1809</v>
      </c>
      <c r="BL79" s="1074" t="s">
        <v>1810</v>
      </c>
    </row>
    <row customHeight="1" ht="11.25">
      <c r="A80" s="1081" t="s">
        <v>1811</v>
      </c>
      <c r="AZ80" s="1127" t="s">
        <v>1390</v>
      </c>
      <c r="BH80" s="1075" t="s">
        <v>1812</v>
      </c>
      <c r="BJ80" s="1075" t="s">
        <v>1813</v>
      </c>
      <c r="BL80" s="1075" t="s">
        <v>1814</v>
      </c>
    </row>
    <row customHeight="1" ht="11.25">
      <c r="A81" s="1081" t="s">
        <v>1815</v>
      </c>
      <c r="AZ81" s="1127" t="s">
        <v>1407</v>
      </c>
      <c r="BH81" s="1075" t="s">
        <v>1816</v>
      </c>
      <c r="BJ81" s="1075" t="s">
        <v>1817</v>
      </c>
      <c r="BL81" s="1075" t="s">
        <v>1818</v>
      </c>
    </row>
    <row customHeight="1" ht="11.25">
      <c r="A82" s="1081" t="s">
        <v>1819</v>
      </c>
      <c r="AZ82" s="1127" t="s">
        <v>1422</v>
      </c>
      <c r="BH82" s="1075" t="s">
        <v>1820</v>
      </c>
      <c r="BJ82" s="1075" t="s">
        <v>1821</v>
      </c>
      <c r="BL82" s="1075" t="s">
        <v>1822</v>
      </c>
    </row>
    <row customHeight="1" ht="11.25">
      <c r="A83" s="1081" t="s">
        <v>1823</v>
      </c>
      <c r="BH83" s="1075" t="s">
        <v>1824</v>
      </c>
      <c r="BJ83" s="1075" t="s">
        <v>1825</v>
      </c>
      <c r="BL83" s="1075" t="s">
        <v>1826</v>
      </c>
    </row>
    <row customHeight="1" ht="11.25">
      <c r="A84" s="1081" t="s">
        <v>1827</v>
      </c>
      <c r="AZ84" s="1074" t="s">
        <v>1828</v>
      </c>
    </row>
    <row customHeight="1" ht="11.25">
      <c r="A85" s="1874" t="s">
        <v>1829</v>
      </c>
      <c r="AZ85" s="1127" t="s">
        <v>1830</v>
      </c>
    </row>
    <row customHeight="1" ht="11.25">
      <c r="A86" s="1081" t="s">
        <v>1831</v>
      </c>
      <c r="AZ86" s="1127" t="s">
        <v>1832</v>
      </c>
      <c r="BH86" s="1074" t="s">
        <v>1833</v>
      </c>
      <c r="BJ86" s="1074" t="s">
        <v>1834</v>
      </c>
      <c r="BL86" s="1074" t="s">
        <v>1835</v>
      </c>
    </row>
    <row customHeight="1" ht="11.25">
      <c r="A87" s="1081" t="s">
        <v>1836</v>
      </c>
      <c r="AZ87" s="1127" t="s">
        <v>1837</v>
      </c>
      <c r="BH87" s="1075" t="s">
        <v>1838</v>
      </c>
      <c r="BJ87" s="1075" t="s">
        <v>1839</v>
      </c>
      <c r="BL87" s="1075" t="s">
        <v>1840</v>
      </c>
    </row>
    <row customHeight="1" ht="11.25">
      <c r="A88" s="1081" t="s">
        <v>1841</v>
      </c>
      <c r="AZ88" s="1613"/>
      <c r="BH88" s="1075" t="s">
        <v>1842</v>
      </c>
      <c r="BJ88" s="1075" t="s">
        <v>1843</v>
      </c>
      <c r="BL88" s="1075" t="s">
        <v>1844</v>
      </c>
    </row>
    <row customHeight="1" ht="11.25">
      <c r="A89" s="1081" t="s">
        <v>1845</v>
      </c>
      <c r="AZ89" s="1074" t="s">
        <v>1846</v>
      </c>
    </row>
    <row customHeight="1" ht="11.25">
      <c r="A90" s="1081" t="s">
        <v>1847</v>
      </c>
      <c r="AZ90" s="1127" t="s">
        <v>1066</v>
      </c>
    </row>
    <row customHeight="1" ht="11.25">
      <c r="A91" s="1081" t="s">
        <v>1848</v>
      </c>
      <c r="AZ91" s="1127" t="s">
        <v>1102</v>
      </c>
      <c r="BH91" s="1074" t="s">
        <v>1849</v>
      </c>
      <c r="BJ91" s="1074" t="s">
        <v>1850</v>
      </c>
      <c r="BL91" s="1074" t="s">
        <v>1851</v>
      </c>
    </row>
    <row customHeight="1" ht="11.25">
      <c r="AZ92" s="1127" t="s">
        <v>1852</v>
      </c>
      <c r="BH92" s="1075" t="s">
        <v>1853</v>
      </c>
      <c r="BJ92" s="1075" t="s">
        <v>1854</v>
      </c>
      <c r="BL92" s="1075" t="s">
        <v>1855</v>
      </c>
    </row>
    <row customHeight="1" ht="11.25">
      <c r="AZ93" s="1127" t="s">
        <v>1856</v>
      </c>
      <c r="BH93" s="1075" t="s">
        <v>1857</v>
      </c>
      <c r="BJ93" s="1075" t="s">
        <v>1858</v>
      </c>
      <c r="BL93" s="1075" t="s">
        <v>1859</v>
      </c>
    </row>
    <row customHeight="1" ht="11.25">
      <c r="AZ94" s="1127" t="s">
        <v>1860</v>
      </c>
    </row>
    <row r="96" customHeight="1" ht="11.25">
      <c r="AZ96" s="1074" t="s">
        <v>1861</v>
      </c>
      <c r="BH96" s="1074" t="s">
        <v>1862</v>
      </c>
      <c r="BJ96" s="1074" t="s">
        <v>1863</v>
      </c>
      <c r="BL96" s="1074" t="s">
        <v>1864</v>
      </c>
      <c r="BN96" s="1074" t="s">
        <v>1865</v>
      </c>
    </row>
    <row customHeight="1" ht="11.25">
      <c r="AZ97" s="1905" t="s">
        <v>1866</v>
      </c>
      <c r="BA97" s="1906" t="s">
        <v>1867</v>
      </c>
      <c r="BH97" s="1075" t="s">
        <v>1868</v>
      </c>
      <c r="BJ97" s="1075" t="s">
        <v>1869</v>
      </c>
      <c r="BL97" s="1075" t="s">
        <v>1870</v>
      </c>
      <c r="BN97" s="1075" t="s">
        <v>1871</v>
      </c>
    </row>
    <row customHeight="1" ht="11.25">
      <c r="AZ98" s="1905" t="s">
        <v>1872</v>
      </c>
      <c r="BA98" s="1906" t="s">
        <v>1873</v>
      </c>
      <c r="BH98" s="1075" t="s">
        <v>1874</v>
      </c>
      <c r="BJ98" s="1075" t="s">
        <v>1875</v>
      </c>
      <c r="BL98" s="1075" t="s">
        <v>1876</v>
      </c>
      <c r="BN98" s="1075" t="s">
        <v>1877</v>
      </c>
    </row>
    <row customHeight="1" ht="22.5">
      <c r="AZ99" s="1905" t="s">
        <v>1878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1879</v>
      </c>
      <c r="BJ99" s="1075" t="s">
        <v>1880</v>
      </c>
      <c r="BL99" s="1075" t="s">
        <v>1881</v>
      </c>
      <c r="BN99" s="1075" t="s">
        <v>1882</v>
      </c>
    </row>
    <row customHeight="1" ht="22.5">
      <c r="AZ100" s="1905" t="s">
        <v>1883</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1470</v>
      </c>
      <c r="BL100" s="1075" t="s">
        <v>1470</v>
      </c>
      <c r="BN100" s="1075" t="s">
        <v>1884</v>
      </c>
    </row>
    <row customHeight="1" ht="22.5">
      <c r="AZ101" s="1905" t="s">
        <v>1885</v>
      </c>
      <c r="BA101" s="1906" t="s">
        <v>1886</v>
      </c>
      <c r="BN101" s="1075" t="s">
        <v>1887</v>
      </c>
    </row>
    <row customHeight="1" ht="22.5">
      <c r="AZ102" s="1905" t="s">
        <v>1888</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1889</v>
      </c>
    </row>
    <row customHeight="1" ht="11.25">
      <c r="AZ103" s="1905" t="s">
        <v>1890</v>
      </c>
      <c r="BA103" s="1906" t="s">
        <v>1891</v>
      </c>
      <c r="BN103" s="1075" t="s">
        <v>1892</v>
      </c>
    </row>
    <row customHeight="1" ht="11.25">
      <c r="BN104" s="1075" t="s">
        <v>1893</v>
      </c>
    </row>
    <row customHeight="1" ht="11.25">
      <c r="AZ105" s="1698" t="s">
        <v>1894</v>
      </c>
    </row>
    <row customHeight="1" ht="11.25">
      <c r="AZ106" s="1127" t="s">
        <v>1895</v>
      </c>
    </row>
    <row customHeight="1" ht="11.25">
      <c r="AZ107" s="1127" t="s">
        <v>1896</v>
      </c>
      <c r="BH107" s="1074" t="s">
        <v>1897</v>
      </c>
      <c r="BJ107" s="1074" t="s">
        <v>1898</v>
      </c>
      <c r="BL107" s="1074" t="s">
        <v>1899</v>
      </c>
      <c r="BN107" s="1074" t="s">
        <v>1900</v>
      </c>
    </row>
    <row customHeight="1" ht="11.25">
      <c r="AZ108" s="1127" t="s">
        <v>568</v>
      </c>
      <c r="BH108" s="1075" t="s">
        <v>1901</v>
      </c>
      <c r="BJ108" s="1075" t="s">
        <v>1902</v>
      </c>
      <c r="BL108" s="1075" t="s">
        <v>1558</v>
      </c>
      <c r="BN108" s="1075" t="s">
        <v>1903</v>
      </c>
    </row>
    <row customHeight="1" ht="11.25">
      <c r="BH109" s="1075" t="s">
        <v>1904</v>
      </c>
    </row>
    <row customHeight="1" ht="11.25">
      <c r="AZ110" s="1698" t="s">
        <v>1905</v>
      </c>
      <c r="BH110" s="1075" t="s">
        <v>1904</v>
      </c>
    </row>
    <row customHeight="1" ht="11.25">
      <c r="AZ111" s="1905" t="s">
        <v>1866</v>
      </c>
      <c r="BA111" s="1906" t="s">
        <v>1867</v>
      </c>
    </row>
    <row customHeight="1" ht="11.25">
      <c r="AZ112" s="1905" t="s">
        <v>1872</v>
      </c>
      <c r="BA112" s="1906" t="s">
        <v>1873</v>
      </c>
    </row>
    <row customHeight="1" ht="22.5">
      <c r="AZ113" s="1905" t="s">
        <v>1878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1883</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1906</v>
      </c>
    </row>
    <row customHeight="1" ht="22.5">
      <c r="AZ115" s="1905" t="s">
        <v>1888</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1265</v>
      </c>
    </row>
    <row customHeight="1" ht="11.25">
      <c r="AZ116" s="1905" t="s">
        <v>1890</v>
      </c>
      <c r="BA116" s="1906" t="s">
        <v>1891</v>
      </c>
      <c r="BH116" s="1075" t="s">
        <v>1292</v>
      </c>
    </row>
    <row customHeight="1" ht="11.25">
      <c r="BH117" s="1075" t="s">
        <v>1327</v>
      </c>
    </row>
    <row customHeight="1" ht="11.25">
      <c r="BH118" s="1075" t="s">
        <v>1361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A043E-04CA-6E5E-4198-551C4E7C79E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298</v>
      </c>
      <c r="J1" s="462" t="s">
        <v>14</v>
      </c>
    </row>
    <row customHeight="1" ht="22.5" hidden="1">
      <c r="A2" s="509"/>
      <c r="B2" s="509"/>
      <c r="C2" s="1736" t="s">
        <v>574</v>
      </c>
      <c r="D2" s="1527"/>
      <c r="E2" s="1533"/>
      <c r="F2" s="1556"/>
      <c r="H2" s="482"/>
      <c r="J2" s="462">
        <v>0</v>
      </c>
    </row>
    <row customHeight="1" ht="11.25" hidden="1">
      <c r="J3" s="462">
        <v>0</v>
      </c>
    </row>
    <row customHeight="1" ht="11.549999999999999">
      <c r="A4" s="1557"/>
      <c r="B4" s="1557"/>
      <c r="J4" s="462">
        <v>11</v>
      </c>
    </row>
    <row customHeight="1" ht="27.299999999999997">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5"/>
      <c r="F5" s="2266"/>
      <c r="I5" s="722"/>
      <c r="J5" s="462">
        <v>26</v>
      </c>
    </row>
    <row customHeight="1" ht="18">
      <c r="D6" s="2202" t="str">
        <f>IF(region_name=0,"Не определено",region_name)</f>
        <v>Свердловская область</v>
      </c>
      <c r="E6" s="2202"/>
      <c r="F6" s="2202"/>
      <c r="I6" s="722"/>
      <c r="J6" s="462">
        <v>17</v>
      </c>
    </row>
    <row s="484" customFormat="1" customHeight="1" ht="11.549999999999999">
      <c r="A7" s="508"/>
      <c r="B7" s="508"/>
      <c r="D7" s="721"/>
      <c r="E7" s="721"/>
      <c r="F7" s="759"/>
      <c r="G7" s="721"/>
      <c r="J7" s="484">
        <v>11</v>
      </c>
    </row>
    <row customHeight="1" ht="11.25" hidden="1">
      <c r="A8" s="509"/>
      <c r="B8" s="509"/>
      <c r="C8" s="464"/>
      <c r="D8" s="470"/>
      <c r="E8" s="2233"/>
      <c r="F8" s="2233"/>
      <c r="J8" s="462">
        <v>0</v>
      </c>
    </row>
    <row customHeight="1" ht="11.549999999999999">
      <c r="A9" s="509"/>
      <c r="B9" s="509"/>
      <c r="C9" s="464"/>
      <c r="D9" s="2230" t="s">
        <v>299</v>
      </c>
      <c r="E9" s="2231"/>
      <c r="F9" s="2231"/>
      <c r="G9" s="2234" t="s">
        <v>300</v>
      </c>
      <c r="J9" s="462">
        <v>11</v>
      </c>
    </row>
    <row customHeight="1" ht="11.549999999999999">
      <c r="A10" s="509"/>
      <c r="B10" s="509"/>
      <c r="C10" s="464"/>
      <c r="D10" s="1481" t="s">
        <v>88</v>
      </c>
      <c r="E10" s="1483" t="s">
        <v>301</v>
      </c>
      <c r="F10" s="1483" t="s">
        <v>302</v>
      </c>
      <c r="G10" s="2235"/>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Общество с ограниченной ответственностью "Сигнал", г. Серов</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1907</v>
      </c>
      <c r="F13" s="1528" t="s">
        <v>305</v>
      </c>
      <c r="G13" s="481"/>
      <c r="H13" s="1540"/>
      <c r="J13" s="462">
        <v>19</v>
      </c>
    </row>
    <row customHeight="1" ht="19.95">
      <c r="A14" s="509"/>
      <c r="B14" s="509"/>
      <c r="C14" s="464"/>
      <c r="D14" s="1530" t="s">
        <v>718</v>
      </c>
      <c r="E14" s="1531" t="s">
        <v>1908</v>
      </c>
      <c r="F14" s="1533"/>
      <c r="G14" s="1532" t="s">
        <v>1909</v>
      </c>
      <c r="H14" s="1540"/>
      <c r="J14" s="462">
        <v>19</v>
      </c>
    </row>
    <row customHeight="1" ht="19.95">
      <c r="A15" s="509"/>
      <c r="B15" s="509"/>
      <c r="C15" s="464"/>
      <c r="D15" s="1530" t="s">
        <v>306</v>
      </c>
      <c r="E15" s="1531" t="s">
        <v>1910</v>
      </c>
      <c r="F15" s="1533"/>
      <c r="G15" s="1532" t="s">
        <v>1911</v>
      </c>
      <c r="H15" s="1540"/>
      <c r="J15" s="462">
        <v>19</v>
      </c>
    </row>
    <row customHeight="1" ht="24">
      <c r="A16" s="509"/>
      <c r="B16" s="509"/>
      <c r="C16" s="464"/>
      <c r="D16" s="1530" t="s">
        <v>309</v>
      </c>
      <c r="E16" s="1529" t="s">
        <v>1912</v>
      </c>
      <c r="F16" s="1538"/>
      <c r="G16" s="481" t="s">
        <v>1913</v>
      </c>
      <c r="H16" s="1540"/>
      <c r="J16" s="462">
        <v>23</v>
      </c>
    </row>
    <row customHeight="1" ht="48.29999999999999">
      <c r="A17" s="509"/>
      <c r="B17" s="509"/>
      <c r="C17" s="464"/>
      <c r="D17" s="1527">
        <v>3</v>
      </c>
      <c r="E17" s="1534" t="s">
        <v>1914</v>
      </c>
      <c r="F17" s="1533"/>
      <c r="G17" s="481" t="s">
        <v>1915</v>
      </c>
      <c r="H17" s="1540"/>
      <c r="J17" s="462">
        <v>46</v>
      </c>
    </row>
    <row customHeight="1" ht="48.29999999999999">
      <c r="A18" s="1482">
        <v>1</v>
      </c>
      <c r="B18" s="509"/>
      <c r="C18" s="1484"/>
      <c r="D18" s="1527" t="s">
        <v>91</v>
      </c>
      <c r="E18" s="1534" t="s">
        <v>1916</v>
      </c>
      <c r="F18" s="1533"/>
      <c r="G18" s="481" t="s">
        <v>1915</v>
      </c>
      <c r="H18" s="1540"/>
      <c r="I18" s="859"/>
      <c r="J18" s="462">
        <v>46</v>
      </c>
    </row>
    <row customHeight="1" ht="23.25">
      <c r="A19" s="509"/>
      <c r="B19" s="509"/>
      <c r="C19" s="464"/>
      <c r="D19" s="1527" t="s">
        <v>111</v>
      </c>
      <c r="E19" s="1534" t="s">
        <v>1917</v>
      </c>
      <c r="F19" s="1528" t="s">
        <v>305</v>
      </c>
      <c r="G19" s="2497" t="s">
        <v>1918</v>
      </c>
      <c r="H19" s="482"/>
      <c r="J19" s="462">
        <v>22</v>
      </c>
    </row>
    <row s="1537" customFormat="1" customHeight="1" ht="5.25" hidden="1">
      <c r="A20" s="509"/>
      <c r="B20" s="509"/>
      <c r="C20" s="1536"/>
      <c r="D20" s="1535" t="s">
        <v>1164</v>
      </c>
      <c r="E20" s="1021"/>
      <c r="F20" s="1020"/>
      <c r="G20" s="2498"/>
      <c r="J20" s="1537">
        <v>0</v>
      </c>
    </row>
    <row customHeight="1" ht="15.75">
      <c r="A21" s="509"/>
      <c r="B21" s="509"/>
      <c r="C21" s="464"/>
      <c r="D21" s="474"/>
      <c r="E21" s="422" t="s">
        <v>338</v>
      </c>
      <c r="F21" s="476"/>
      <c r="G21" s="2499"/>
      <c r="H21" s="1540"/>
      <c r="J21" s="462">
        <v>15</v>
      </c>
    </row>
    <row s="508" customFormat="1" customHeight="1" ht="26.25">
      <c r="A22" s="509"/>
      <c r="B22" s="509"/>
      <c r="C22" s="509"/>
      <c r="D22" s="1527" t="s">
        <v>92</v>
      </c>
      <c r="E22" s="481" t="s">
        <v>1919</v>
      </c>
      <c r="F22" s="1533"/>
      <c r="G22" s="481" t="s">
        <v>1920</v>
      </c>
      <c r="H22" s="1539"/>
      <c r="J22" s="508">
        <v>25</v>
      </c>
    </row>
    <row s="508" customFormat="1" customHeight="1" ht="19.95">
      <c r="A23" s="509"/>
      <c r="B23" s="509"/>
      <c r="C23" s="509"/>
      <c r="D23" s="1527" t="s">
        <v>93</v>
      </c>
      <c r="E23" s="1534" t="s">
        <v>1921</v>
      </c>
      <c r="F23" s="1538"/>
      <c r="G23" s="481" t="s">
        <v>1922</v>
      </c>
      <c r="H23" s="1539"/>
      <c r="J23" s="508">
        <v>19</v>
      </c>
    </row>
    <row s="508" customFormat="1" customHeight="1" ht="144" hidden="1">
      <c r="A24" s="509"/>
      <c r="B24" s="509"/>
      <c r="C24" s="509"/>
      <c r="D24" s="1527"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59D0B-72AA-EC26-9EBF-D7D2380C419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1923</v>
      </c>
      <c r="G1" s="1638" t="s">
        <v>48</v>
      </c>
      <c r="H1" s="1638" t="s">
        <v>50</v>
      </c>
      <c r="IU1" s="1162" t="s">
        <v>14</v>
      </c>
    </row>
    <row s="1854" customFormat="1" customHeight="1" ht="22.5" hidden="1">
      <c r="A2" s="838"/>
      <c r="B2" s="1167">
        <v>1</v>
      </c>
      <c r="C2" s="1167"/>
      <c r="D2" s="1932" t="s">
        <v>574</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6"/>
      <c r="G5" s="2126"/>
      <c r="H5" s="2126"/>
      <c r="I5" s="2126"/>
      <c r="J5" s="2126"/>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7" t="s">
        <v>299</v>
      </c>
      <c r="F7" s="2128"/>
      <c r="G7" s="2128"/>
      <c r="H7" s="2128"/>
      <c r="I7" s="2128"/>
      <c r="J7" s="2500" t="s">
        <v>300</v>
      </c>
      <c r="K7" s="507"/>
      <c r="L7" s="507"/>
      <c r="M7" s="507"/>
      <c r="N7" s="507"/>
      <c r="O7" s="233"/>
      <c r="P7" s="507"/>
      <c r="Q7" s="232"/>
      <c r="R7" s="232"/>
      <c r="S7" s="232"/>
      <c r="T7" s="232"/>
      <c r="IU7" s="514">
        <v>14</v>
      </c>
    </row>
    <row s="1825" customFormat="1" customHeight="1" ht="21">
      <c r="A8" s="1162"/>
      <c r="B8" s="1167"/>
      <c r="C8" s="1162"/>
      <c r="D8" s="1502"/>
      <c r="E8" s="1555" t="s">
        <v>88</v>
      </c>
      <c r="F8" s="1547" t="s">
        <v>1923</v>
      </c>
      <c r="G8" s="1547" t="s">
        <v>48</v>
      </c>
      <c r="H8" s="1547" t="s">
        <v>50</v>
      </c>
      <c r="I8" s="1547" t="s">
        <v>1924</v>
      </c>
      <c r="J8" s="2501"/>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1925</v>
      </c>
      <c r="G10" s="1549"/>
      <c r="H10" s="1549"/>
      <c r="I10" s="1903"/>
      <c r="J10" s="2197"/>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07ACA-0645-5B5D-2E6E-32F372E7F12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574</v>
      </c>
      <c r="E2" s="1893"/>
      <c r="F2" s="1896" t="str">
        <f>IF(ROIV_INFO_NAME="","",ROIV_INFO_NAME)</f>
        <v>Общество с ограниченной ответственностью "Сигнал", г. Серов</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1"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6"/>
      <c r="G5" s="2126"/>
      <c r="H5" s="2126"/>
      <c r="I5" s="2126"/>
      <c r="J5" s="2126"/>
      <c r="K5" s="2126"/>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7" t="s">
        <v>299</v>
      </c>
      <c r="F7" s="2128"/>
      <c r="G7" s="2128"/>
      <c r="H7" s="2128"/>
      <c r="I7" s="2128"/>
      <c r="J7" s="2128"/>
      <c r="K7" s="2128"/>
      <c r="L7" s="2500" t="s">
        <v>300</v>
      </c>
      <c r="M7" s="507"/>
      <c r="N7" s="507"/>
      <c r="O7" s="507"/>
      <c r="P7" s="507"/>
      <c r="Q7" s="233"/>
      <c r="R7" s="507"/>
      <c r="S7" s="232"/>
      <c r="T7" s="232"/>
      <c r="U7" s="232"/>
      <c r="V7" s="232"/>
      <c r="IW7" s="514">
        <v>14</v>
      </c>
    </row>
    <row s="1825" customFormat="1" customHeight="1" ht="67.2">
      <c r="A8" s="1162"/>
      <c r="B8" s="1167"/>
      <c r="C8" s="1162"/>
      <c r="D8" s="1502"/>
      <c r="E8" s="2504" t="s">
        <v>88</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507"/>
      <c r="N8" s="507"/>
      <c r="O8" s="507"/>
      <c r="P8" s="507"/>
      <c r="Q8" s="233"/>
      <c r="R8" s="507"/>
      <c r="S8" s="232"/>
      <c r="T8" s="232"/>
      <c r="U8" s="232"/>
      <c r="V8" s="232"/>
      <c r="IW8" s="514">
        <v>64</v>
      </c>
    </row>
    <row s="1825" customFormat="1" customHeight="1" ht="29.25">
      <c r="A9" s="1162"/>
      <c r="B9" s="1167"/>
      <c r="C9" s="1162"/>
      <c r="D9" s="1502"/>
      <c r="E9" s="2505"/>
      <c r="F9" s="2505"/>
      <c r="G9" s="1544" t="s">
        <v>1926</v>
      </c>
      <c r="H9" s="1544" t="s">
        <v>1927</v>
      </c>
      <c r="I9" s="1544" t="s">
        <v>1928</v>
      </c>
      <c r="J9" s="2505"/>
      <c r="K9" s="2505"/>
      <c r="L9" s="2501"/>
      <c r="M9" s="507"/>
      <c r="N9" s="507"/>
      <c r="O9" s="507"/>
      <c r="P9" s="507"/>
      <c r="Q9" s="233"/>
      <c r="R9" s="507"/>
      <c r="S9" s="232"/>
      <c r="T9" s="232"/>
      <c r="U9" s="232"/>
      <c r="V9" s="232"/>
      <c r="IW9" s="514">
        <v>28</v>
      </c>
    </row>
    <row s="1854" customFormat="1" customHeight="1" ht="23.25">
      <c r="A10" s="2125"/>
      <c r="B10" s="1167">
        <v>1</v>
      </c>
      <c r="C10" s="1167"/>
      <c r="D10" s="807"/>
      <c r="E10" s="805">
        <v>1</v>
      </c>
      <c r="F10" s="1546" t="str">
        <f>IF(ROIV_INFO_NAME="","",ROIV_INFO_NAME)</f>
        <v>Общество с ограниченной ответственностью "Сигнал", г. Серов</v>
      </c>
      <c r="G10" s="1738" t="s">
        <v>22</v>
      </c>
      <c r="H10" s="1920"/>
      <c r="I10" s="1541"/>
      <c r="J10" s="825"/>
      <c r="K10" s="825"/>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25"/>
      <c r="B11" s="1167"/>
      <c r="C11" s="419"/>
      <c r="D11" s="808"/>
      <c r="E11" s="428"/>
      <c r="F11" s="423" t="s">
        <v>1929</v>
      </c>
      <c r="G11" s="194"/>
      <c r="H11" s="194"/>
      <c r="I11" s="194"/>
      <c r="J11" s="194"/>
      <c r="K11" s="431"/>
      <c r="L11" s="2503"/>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1A6CA-08CE-EA6C-FB04-6627CE6D38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574</v>
      </c>
      <c r="E2" s="1908"/>
      <c r="F2" s="1910" t="str">
        <f>IF(ROIV_INFO_NAME="","",ROIV_INFO_NAME)</f>
        <v>Общество с ограниченной ответственностью "Сигнал", г. Серов</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83</v>
      </c>
      <c r="G3" s="1741" t="s">
        <v>84</v>
      </c>
      <c r="H3" s="1897"/>
      <c r="I3" s="1897"/>
      <c r="J3" s="1897"/>
      <c r="K3" s="1897"/>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6"/>
      <c r="G5" s="2126"/>
      <c r="H5" s="2126"/>
      <c r="I5" s="2126"/>
      <c r="J5" s="2126"/>
      <c r="K5" s="2126"/>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7" t="s">
        <v>299</v>
      </c>
      <c r="F7" s="2128"/>
      <c r="G7" s="2128"/>
      <c r="H7" s="2128"/>
      <c r="I7" s="2128"/>
      <c r="J7" s="2128"/>
      <c r="K7" s="2128"/>
      <c r="L7" s="2500" t="s">
        <v>300</v>
      </c>
      <c r="M7" s="1631"/>
      <c r="N7" s="1631"/>
      <c r="O7" s="1631"/>
      <c r="P7" s="1631"/>
      <c r="Q7" s="1631"/>
      <c r="R7" s="1631"/>
      <c r="S7" s="232"/>
      <c r="T7" s="232"/>
      <c r="U7" s="232"/>
      <c r="V7" s="232"/>
      <c r="IW7" s="1616">
        <v>14</v>
      </c>
    </row>
    <row s="1825" customFormat="1" customHeight="1" ht="67.2">
      <c r="A8" s="1638"/>
      <c r="B8" s="1373"/>
      <c r="C8" s="1638"/>
      <c r="D8" s="1522"/>
      <c r="E8" s="2504" t="s">
        <v>88</v>
      </c>
      <c r="F8" s="2504" t="s">
        <v>1930</v>
      </c>
      <c r="G8" s="2506" t="s">
        <v>1931</v>
      </c>
      <c r="H8" s="2507"/>
      <c r="I8" s="2508"/>
      <c r="J8" s="2504" t="s">
        <v>1932</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1631"/>
      <c r="N8" s="1631"/>
      <c r="O8" s="1631"/>
      <c r="P8" s="1631"/>
      <c r="Q8" s="1631"/>
      <c r="R8" s="1631"/>
      <c r="S8" s="232"/>
      <c r="T8" s="232"/>
      <c r="U8" s="232"/>
      <c r="V8" s="232"/>
      <c r="IW8" s="1616">
        <v>64</v>
      </c>
    </row>
    <row s="1825" customFormat="1" customHeight="1" ht="29.25">
      <c r="A9" s="1638"/>
      <c r="B9" s="1373"/>
      <c r="C9" s="1638"/>
      <c r="D9" s="1522"/>
      <c r="E9" s="2505"/>
      <c r="F9" s="2505"/>
      <c r="G9" s="1898" t="s">
        <v>1926</v>
      </c>
      <c r="H9" s="1898" t="s">
        <v>1927</v>
      </c>
      <c r="I9" s="1898" t="s">
        <v>1928</v>
      </c>
      <c r="J9" s="2505"/>
      <c r="K9" s="2505"/>
      <c r="L9" s="2501"/>
      <c r="M9" s="1631"/>
      <c r="N9" s="1631"/>
      <c r="O9" s="1631"/>
      <c r="P9" s="1631"/>
      <c r="Q9" s="1631"/>
      <c r="R9" s="1631"/>
      <c r="S9" s="232"/>
      <c r="T9" s="232"/>
      <c r="U9" s="232"/>
      <c r="V9" s="232"/>
      <c r="IW9" s="1616">
        <v>28</v>
      </c>
    </row>
    <row s="1854" customFormat="1" customHeight="1" ht="1.05">
      <c r="A10" s="2125"/>
      <c r="B10" s="1373">
        <v>1</v>
      </c>
      <c r="C10" s="1373"/>
      <c r="D10" s="807"/>
      <c r="E10" s="802">
        <v>0</v>
      </c>
      <c r="F10" s="1895" t="str">
        <f>IF(ROIV_INFO_NAME="","",ROIV_INFO_NAME)</f>
        <v>Общество с ограниченной ответственностью "Сигнал", г. Серов</v>
      </c>
      <c r="G10" s="1739" t="s">
        <v>22</v>
      </c>
      <c r="H10" s="1907"/>
      <c r="I10" s="1907"/>
      <c r="J10" s="526"/>
      <c r="K10" s="526"/>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25"/>
      <c r="B11" s="1373"/>
      <c r="C11" s="419"/>
      <c r="D11" s="808"/>
      <c r="E11" s="428"/>
      <c r="F11" s="658" t="s">
        <v>1929</v>
      </c>
      <c r="G11" s="194"/>
      <c r="H11" s="194"/>
      <c r="I11" s="194"/>
      <c r="J11" s="194"/>
      <c r="K11" s="431"/>
      <c r="L11" s="2503"/>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E72D5-DA4C-BFBB-B12A-4D9035354A4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574</v>
      </c>
      <c r="E2" s="2153">
        <v>1</v>
      </c>
      <c r="F2" s="2329" t="str">
        <f>IF(region_name="","",region_name)</f>
        <v>Свердловская область</v>
      </c>
      <c r="G2" s="2509"/>
      <c r="H2" s="2510"/>
      <c r="I2" s="481"/>
      <c r="J2" s="1914">
        <v>1</v>
      </c>
      <c r="K2" s="1916"/>
      <c r="L2" s="1916"/>
      <c r="M2" s="1916"/>
      <c r="N2" s="499"/>
      <c r="O2" s="1542"/>
      <c r="P2" s="518"/>
      <c r="Q2" s="430">
        <v>0</v>
      </c>
    </row>
    <row s="1854" customFormat="1" customHeight="1" ht="22.5" hidden="1">
      <c r="A3" s="838"/>
      <c r="B3" s="1167"/>
      <c r="C3" s="1167"/>
      <c r="D3" s="808"/>
      <c r="E3" s="2153"/>
      <c r="F3" s="2329"/>
      <c r="G3" s="2509"/>
      <c r="H3" s="2511"/>
      <c r="I3" s="428"/>
      <c r="J3" s="1507"/>
      <c r="K3" s="1507" t="s">
        <v>1933</v>
      </c>
      <c r="L3" s="1550"/>
      <c r="M3" s="1924"/>
      <c r="N3" s="1917"/>
      <c r="O3" s="1542"/>
      <c r="P3" s="518"/>
      <c r="Q3" s="430">
        <v>0</v>
      </c>
    </row>
    <row s="1649" customFormat="1" customHeight="1" ht="5.25" hidden="1">
      <c r="A4" s="503"/>
      <c r="D4" s="501"/>
      <c r="F4" s="254" t="s">
        <v>83</v>
      </c>
      <c r="G4" s="501" t="s">
        <v>84</v>
      </c>
      <c r="H4" s="501"/>
      <c r="I4" s="1927"/>
      <c r="J4" s="1551"/>
      <c r="K4" s="1915"/>
      <c r="L4" s="1915"/>
      <c r="M4" s="1915"/>
      <c r="N4" s="1911"/>
      <c r="O4" s="254" t="s">
        <v>83</v>
      </c>
      <c r="P4" s="254"/>
      <c r="Q4" s="518">
        <v>0</v>
      </c>
    </row>
    <row s="1854" customFormat="1" customHeight="1" ht="22.5" hidden="1">
      <c r="A5" s="1648"/>
      <c r="B5" s="1373">
        <v>1</v>
      </c>
      <c r="C5" s="1373"/>
      <c r="D5" s="808"/>
      <c r="E5" s="1917"/>
      <c r="F5" s="1917"/>
      <c r="G5" s="1917"/>
      <c r="H5" s="1928"/>
      <c r="I5" s="1933" t="s">
        <v>574</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6"/>
      <c r="G7" s="2516"/>
      <c r="H7" s="2516"/>
      <c r="I7" s="2516"/>
      <c r="J7" s="2516"/>
      <c r="K7" s="2516"/>
      <c r="L7" s="2516"/>
      <c r="M7" s="2516"/>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9"/>
      <c r="J9" s="2519"/>
      <c r="K9" s="2519"/>
      <c r="L9" s="1918"/>
      <c r="M9" s="1919"/>
      <c r="O9" s="1552"/>
      <c r="P9" s="1552"/>
      <c r="Q9" s="1553">
        <v>0</v>
      </c>
    </row>
    <row s="1825" customFormat="1" customHeight="1" ht="14.699999999999998">
      <c r="A10" s="1162"/>
      <c r="B10" s="1167"/>
      <c r="C10" s="1162"/>
      <c r="D10" s="1502"/>
      <c r="E10" s="2153" t="s">
        <v>299</v>
      </c>
      <c r="F10" s="2153"/>
      <c r="G10" s="2153"/>
      <c r="H10" s="2153"/>
      <c r="I10" s="2153"/>
      <c r="J10" s="2153"/>
      <c r="K10" s="2153"/>
      <c r="L10" s="2153"/>
      <c r="M10" s="2127"/>
      <c r="N10" s="2504" t="s">
        <v>300</v>
      </c>
      <c r="O10" s="507"/>
      <c r="P10" s="507"/>
      <c r="Q10" s="514">
        <v>14</v>
      </c>
    </row>
    <row s="1825" customFormat="1" customHeight="1" ht="44.25">
      <c r="A11" s="1638"/>
      <c r="B11" s="1373"/>
      <c r="C11" s="1638"/>
      <c r="D11" s="1522"/>
      <c r="E11" s="2518" t="s">
        <v>88</v>
      </c>
      <c r="F11" s="2518" t="s">
        <v>303</v>
      </c>
      <c r="G11" s="2518" t="s">
        <v>1934</v>
      </c>
      <c r="H11" s="2518"/>
      <c r="I11" s="2518" t="s">
        <v>1935</v>
      </c>
      <c r="J11" s="2518"/>
      <c r="K11" s="2518"/>
      <c r="L11" s="2518" t="s">
        <v>1936</v>
      </c>
      <c r="M11" s="2506" t="s">
        <v>1937</v>
      </c>
      <c r="N11" s="2517"/>
      <c r="O11" s="1631"/>
      <c r="P11" s="1631"/>
      <c r="Q11" s="1616">
        <v>42</v>
      </c>
    </row>
    <row s="1825" customFormat="1" customHeight="1" ht="29.25">
      <c r="A12" s="1162"/>
      <c r="B12" s="1167"/>
      <c r="C12" s="1162"/>
      <c r="D12" s="1502"/>
      <c r="E12" s="2504"/>
      <c r="F12" s="2518"/>
      <c r="G12" s="1913" t="s">
        <v>1938</v>
      </c>
      <c r="H12" s="1913" t="s">
        <v>307</v>
      </c>
      <c r="I12" s="2518"/>
      <c r="J12" s="2518"/>
      <c r="K12" s="2518"/>
      <c r="L12" s="2518"/>
      <c r="M12" s="2506"/>
      <c r="N12" s="2505"/>
      <c r="O12" s="507"/>
      <c r="P12" s="507"/>
      <c r="Q12" s="514">
        <v>28</v>
      </c>
    </row>
    <row s="1854" customFormat="1" customHeight="1" ht="23.25">
      <c r="A13" s="2125">
        <v>26379339</v>
      </c>
      <c r="B13" s="1167">
        <v>1</v>
      </c>
      <c r="C13" s="1167"/>
      <c r="D13" s="808"/>
      <c r="E13" s="2153">
        <v>1</v>
      </c>
      <c r="F13" s="2512" t="str">
        <f>IF(region_name="","",region_name)</f>
        <v>Свердловская область</v>
      </c>
      <c r="G13" s="2513"/>
      <c r="H13" s="2520"/>
      <c r="I13" s="481"/>
      <c r="J13" s="1909">
        <v>1</v>
      </c>
      <c r="K13" s="1922"/>
      <c r="L13" s="1923"/>
      <c r="M13" s="1923"/>
      <c r="N13" s="2514" t="s">
        <v>1939</v>
      </c>
      <c r="O13" s="1542"/>
      <c r="P13" s="518"/>
      <c r="Q13" s="430">
        <v>22</v>
      </c>
    </row>
    <row s="1854" customFormat="1" customHeight="1" ht="23.25">
      <c r="A14" s="2125"/>
      <c r="B14" s="1167"/>
      <c r="C14" s="1167"/>
      <c r="D14" s="808"/>
      <c r="E14" s="2153"/>
      <c r="F14" s="2512"/>
      <c r="G14" s="2513"/>
      <c r="H14" s="2521"/>
      <c r="I14" s="428"/>
      <c r="J14" s="1507"/>
      <c r="K14" s="1507" t="s">
        <v>1933</v>
      </c>
      <c r="L14" s="1550"/>
      <c r="M14" s="1550"/>
      <c r="N14" s="2515"/>
      <c r="O14" s="1542"/>
      <c r="P14" s="518"/>
      <c r="Q14" s="430">
        <v>22</v>
      </c>
    </row>
    <row s="1854" customFormat="1" customHeight="1" ht="23.25">
      <c r="A15" s="2125"/>
      <c r="B15" s="1167"/>
      <c r="C15" s="419"/>
      <c r="D15" s="808"/>
      <c r="E15" s="428"/>
      <c r="F15" s="1507" t="s">
        <v>1925</v>
      </c>
      <c r="G15" s="1549"/>
      <c r="H15" s="1549"/>
      <c r="I15" s="194"/>
      <c r="J15" s="194"/>
      <c r="K15" s="194"/>
      <c r="L15" s="194"/>
      <c r="M15" s="194"/>
      <c r="N15" s="2515"/>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68A8F-997A-1FBE-AD11-449D5F277ED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6" t="s">
        <v>1940</v>
      </c>
      <c r="E5" s="2126"/>
      <c r="F5" s="2126"/>
      <c r="G5" s="2126"/>
      <c r="H5" s="2126"/>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35" t="s">
        <v>299</v>
      </c>
      <c r="E8" s="2235"/>
      <c r="F8" s="2235"/>
      <c r="G8" s="2235"/>
      <c r="H8" s="2235"/>
      <c r="I8" s="2235" t="s">
        <v>300</v>
      </c>
      <c r="M8" s="128">
        <v>14</v>
      </c>
    </row>
    <row customHeight="1" ht="29.25">
      <c r="D9" s="2235" t="s">
        <v>88</v>
      </c>
      <c r="E9" s="2235" t="s">
        <v>1941</v>
      </c>
      <c r="F9" s="2235"/>
      <c r="G9" s="2235"/>
      <c r="H9" s="2235"/>
      <c r="I9" s="2235"/>
      <c r="M9" s="128">
        <v>28</v>
      </c>
    </row>
    <row customHeight="1" ht="24">
      <c r="D10" s="2235"/>
      <c r="E10" s="134" t="s">
        <v>1942</v>
      </c>
      <c r="F10" s="134" t="s">
        <v>1943</v>
      </c>
      <c r="G10" s="134" t="s">
        <v>1944</v>
      </c>
      <c r="H10" s="134" t="s">
        <v>389</v>
      </c>
      <c r="I10" s="2235"/>
      <c r="M10" s="128">
        <v>23</v>
      </c>
    </row>
    <row customHeight="1" ht="12" hidden="1">
      <c r="D11" s="94" t="s">
        <v>109</v>
      </c>
      <c r="E11" s="94" t="s">
        <v>91</v>
      </c>
      <c r="F11" s="94" t="s">
        <v>111</v>
      </c>
      <c r="G11" s="94" t="s">
        <v>92</v>
      </c>
      <c r="H11" s="94" t="s">
        <v>93</v>
      </c>
      <c r="I11" s="94" t="s">
        <v>112</v>
      </c>
      <c r="M11" s="128">
        <v>0</v>
      </c>
    </row>
    <row s="1829" customFormat="1" customHeight="1" ht="26.25">
      <c r="A12" s="152" t="s">
        <v>90</v>
      </c>
      <c r="B12" s="132" t="s">
        <v>22</v>
      </c>
      <c r="C12" s="133"/>
      <c r="D12" s="135" t="s">
        <v>109</v>
      </c>
      <c r="E12" s="388"/>
      <c r="F12" s="388"/>
      <c r="G12" s="1740" t="s">
        <v>22</v>
      </c>
      <c r="H12" s="389"/>
      <c r="I12" s="2195" t="s">
        <v>1945</v>
      </c>
      <c r="K12" s="279"/>
      <c r="L12" s="280"/>
      <c r="M12" s="124">
        <v>25</v>
      </c>
    </row>
    <row customHeight="1" ht="15.75">
      <c r="A13" s="128"/>
      <c r="B13" s="128"/>
      <c r="C13" s="128"/>
      <c r="D13" s="116"/>
      <c r="E13" s="137" t="s">
        <v>463</v>
      </c>
      <c r="F13" s="136"/>
      <c r="G13" s="136"/>
      <c r="H13" s="221"/>
      <c r="I13" s="2197"/>
      <c r="M13" s="128">
        <v>15</v>
      </c>
    </row>
    <row customHeight="1" ht="3">
      <c r="A14" s="128"/>
      <c r="B14" s="128"/>
      <c r="C14" s="128"/>
      <c r="M14" s="128">
        <v>3</v>
      </c>
    </row>
    <row customHeight="1" ht="29.25">
      <c r="E15" s="2522" t="s">
        <v>1946</v>
      </c>
      <c r="F15" s="2522"/>
      <c r="G15" s="2522"/>
      <c r="H15" s="2522"/>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00636-7AF3-552B-664F-F38ACD6EEE4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23" t="s">
        <v>1947</v>
      </c>
      <c r="E7" s="2524"/>
      <c r="F7" s="274"/>
      <c r="J7" s="76">
        <v>22</v>
      </c>
    </row>
    <row customHeight="1" ht="3">
      <c r="C8" s="99"/>
      <c r="D8" s="77"/>
      <c r="E8" s="77"/>
      <c r="J8" s="76">
        <v>3</v>
      </c>
    </row>
    <row customHeight="1" ht="16.8">
      <c r="C9" s="99"/>
      <c r="D9" s="112" t="s">
        <v>88</v>
      </c>
      <c r="E9" s="267" t="s">
        <v>1948</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1949</v>
      </c>
      <c r="J13" s="76">
        <v>12</v>
      </c>
    </row>
    <row customHeight="1" ht="3">
      <c r="J14" s="76">
        <v>3</v>
      </c>
    </row>
    <row customHeight="1" ht="23.25">
      <c r="C15" s="144"/>
      <c r="D15" s="2525" t="s">
        <v>1950</v>
      </c>
      <c r="E15" s="2525"/>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3C9D4-1325-E6EF-9D6D-DC4BBA3E3C0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6" t="s">
        <v>1951</v>
      </c>
      <c r="E7" s="2126"/>
      <c r="F7" s="274"/>
      <c r="M7" s="76">
        <v>22</v>
      </c>
    </row>
    <row customHeight="1" ht="3">
      <c r="C8" s="99"/>
      <c r="D8" s="77"/>
      <c r="E8" s="77"/>
      <c r="M8" s="76">
        <v>3</v>
      </c>
    </row>
    <row customHeight="1" ht="16.8">
      <c r="C9" s="99"/>
      <c r="D9" s="112" t="s">
        <v>88</v>
      </c>
      <c r="E9" s="115" t="s">
        <v>286</v>
      </c>
      <c r="M9" s="76">
        <v>16</v>
      </c>
    </row>
    <row customHeight="1" ht="12.75">
      <c r="C10" s="99"/>
      <c r="D10" s="94" t="s">
        <v>109</v>
      </c>
      <c r="E10" s="94" t="s">
        <v>110</v>
      </c>
      <c r="M10" s="76">
        <v>12</v>
      </c>
    </row>
    <row customHeight="1" ht="15" hidden="1">
      <c r="C11" s="99"/>
      <c r="D11" s="120">
        <v>0</v>
      </c>
      <c r="E11" s="156"/>
      <c r="M11" s="76">
        <v>0</v>
      </c>
    </row>
    <row customHeight="1" ht="14.699999999999998">
      <c r="C12" s="99"/>
      <c r="D12" s="116"/>
      <c r="E12" s="114" t="s">
        <v>1949</v>
      </c>
      <c r="M12" s="76">
        <v>14</v>
      </c>
    </row>
    <row customHeight="1" ht="14.25" hidden="1">
      <c r="A13" s="76" t="s">
        <v>82</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F0FCA-0AB4-0823-0D28-D17F2EB4EF2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278</v>
      </c>
      <c r="M2" s="1560" t="s">
        <v>279</v>
      </c>
      <c r="R2" s="1560" t="s">
        <v>280</v>
      </c>
      <c r="S2" s="1560" t="s">
        <v>279</v>
      </c>
      <c r="X2" s="1560" t="s">
        <v>278</v>
      </c>
      <c r="Y2" s="1560" t="s">
        <v>279</v>
      </c>
      <c r="AD2" s="1560" t="s">
        <v>278</v>
      </c>
      <c r="AE2" s="1560" t="s">
        <v>279</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7" t="s">
        <v>281</v>
      </c>
      <c r="E4" s="2217"/>
      <c r="F4" s="2217"/>
      <c r="G4" s="2217"/>
      <c r="H4" s="2217"/>
      <c r="I4" s="2217"/>
      <c r="J4" s="2217"/>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202" t="str">
        <f>IF(org=0,"Не определено",org)</f>
        <v>Общество с ограниченной ответственностью "Сигнал", г. Серов</v>
      </c>
      <c r="E5" s="2202"/>
      <c r="F5" s="2202"/>
      <c r="G5" s="2202"/>
      <c r="H5" s="2202"/>
      <c r="I5" s="2202"/>
      <c r="J5" s="2202"/>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53" t="s">
        <v>88</v>
      </c>
      <c r="E8" s="2153" t="s">
        <v>105</v>
      </c>
      <c r="F8" s="2218" t="s">
        <v>123</v>
      </c>
      <c r="G8" s="2219"/>
      <c r="H8" s="2218" t="s">
        <v>88</v>
      </c>
      <c r="I8" s="2219"/>
      <c r="J8" s="2153" t="s">
        <v>124</v>
      </c>
      <c r="K8" s="1563"/>
      <c r="L8" s="2222" t="s">
        <v>282</v>
      </c>
      <c r="M8" s="2222"/>
      <c r="N8" s="2222"/>
      <c r="O8" s="2222"/>
      <c r="P8" s="2222"/>
      <c r="Q8" s="1564"/>
      <c r="R8" s="2122" t="s">
        <v>283</v>
      </c>
      <c r="S8" s="2223"/>
      <c r="T8" s="2223"/>
      <c r="U8" s="2223"/>
      <c r="V8" s="2223"/>
      <c r="W8" s="1564"/>
      <c r="X8" s="2224" t="s">
        <v>284</v>
      </c>
      <c r="Y8" s="2224"/>
      <c r="Z8" s="2224"/>
      <c r="AA8" s="2224"/>
      <c r="AB8" s="2224"/>
      <c r="AC8" s="1565"/>
      <c r="AD8" s="2153" t="s">
        <v>285</v>
      </c>
      <c r="AE8" s="2153"/>
      <c r="AF8" s="2153"/>
      <c r="AG8" s="2153"/>
      <c r="AH8" s="2127"/>
      <c r="AI8" s="2153" t="s">
        <v>286</v>
      </c>
      <c r="AJ8" s="1581"/>
      <c r="BM8" s="300">
        <v>32</v>
      </c>
    </row>
    <row customHeight="1" ht="23.25">
      <c r="D9" s="2153"/>
      <c r="E9" s="2153"/>
      <c r="F9" s="2201" t="s">
        <v>89</v>
      </c>
      <c r="G9" s="2201" t="s">
        <v>129</v>
      </c>
      <c r="H9" s="2220"/>
      <c r="I9" s="2221"/>
      <c r="J9" s="2127"/>
      <c r="K9" s="1566"/>
      <c r="L9" s="2153" t="s">
        <v>287</v>
      </c>
      <c r="M9" s="2127"/>
      <c r="N9" s="2218" t="s">
        <v>88</v>
      </c>
      <c r="O9" s="2219"/>
      <c r="P9" s="2153" t="s">
        <v>130</v>
      </c>
      <c r="Q9" s="1563"/>
      <c r="R9" s="2153" t="s">
        <v>287</v>
      </c>
      <c r="S9" s="2127"/>
      <c r="T9" s="2218" t="s">
        <v>88</v>
      </c>
      <c r="U9" s="2219"/>
      <c r="V9" s="2153" t="s">
        <v>130</v>
      </c>
      <c r="W9" s="1563"/>
      <c r="X9" s="2153" t="s">
        <v>287</v>
      </c>
      <c r="Y9" s="2127"/>
      <c r="Z9" s="2218" t="s">
        <v>88</v>
      </c>
      <c r="AA9" s="2219"/>
      <c r="AB9" s="2153" t="s">
        <v>288</v>
      </c>
      <c r="AC9" s="1563"/>
      <c r="AD9" s="2153" t="s">
        <v>287</v>
      </c>
      <c r="AE9" s="2127"/>
      <c r="AF9" s="2218" t="s">
        <v>88</v>
      </c>
      <c r="AG9" s="2219"/>
      <c r="AH9" s="2127" t="s">
        <v>288</v>
      </c>
      <c r="AI9" s="2153"/>
      <c r="AJ9" s="1581"/>
      <c r="BM9" s="300">
        <v>22</v>
      </c>
    </row>
    <row customHeight="1" ht="24">
      <c r="D10" s="2201"/>
      <c r="E10" s="2201"/>
      <c r="F10" s="2225"/>
      <c r="G10" s="2225"/>
      <c r="H10" s="2226"/>
      <c r="I10" s="2227"/>
      <c r="J10" s="2218"/>
      <c r="K10" s="1566"/>
      <c r="L10" s="1585" t="s">
        <v>289</v>
      </c>
      <c r="M10" s="1580" t="s">
        <v>290</v>
      </c>
      <c r="N10" s="2220"/>
      <c r="O10" s="2221"/>
      <c r="P10" s="2201"/>
      <c r="Q10" s="1563"/>
      <c r="R10" s="1585" t="s">
        <v>289</v>
      </c>
      <c r="S10" s="1580" t="s">
        <v>290</v>
      </c>
      <c r="T10" s="2220"/>
      <c r="U10" s="2221"/>
      <c r="V10" s="2201"/>
      <c r="W10" s="1563"/>
      <c r="X10" s="1585" t="s">
        <v>289</v>
      </c>
      <c r="Y10" s="1580" t="s">
        <v>290</v>
      </c>
      <c r="Z10" s="2220"/>
      <c r="AA10" s="2221"/>
      <c r="AB10" s="2201"/>
      <c r="AC10" s="1563"/>
      <c r="AD10" s="1585" t="s">
        <v>289</v>
      </c>
      <c r="AE10" s="1580" t="s">
        <v>290</v>
      </c>
      <c r="AF10" s="2220"/>
      <c r="AG10" s="2221"/>
      <c r="AH10" s="2218"/>
      <c r="AI10" s="2201"/>
      <c r="AJ10" s="1581"/>
      <c r="AK10" s="261" t="s">
        <v>291</v>
      </c>
      <c r="AL10" s="261" t="s">
        <v>131</v>
      </c>
      <c r="BM10" s="300">
        <v>23</v>
      </c>
    </row>
    <row customHeight="1" ht="15">
      <c r="D11" s="2209" t="s">
        <v>109</v>
      </c>
      <c r="E11" s="2205" t="s">
        <v>292</v>
      </c>
      <c r="F11" s="2205" t="s">
        <v>293</v>
      </c>
      <c r="G11" s="2211" t="s">
        <v>19</v>
      </c>
      <c r="H11" s="1606"/>
      <c r="I11" s="2207"/>
      <c r="J11" s="2178"/>
      <c r="K11" s="1521"/>
      <c r="L11" s="2163"/>
      <c r="M11" s="2163"/>
      <c r="N11" s="1591"/>
      <c r="O11" s="2163"/>
      <c r="P11" s="2178"/>
      <c r="Q11" s="1592"/>
      <c r="R11" s="2163"/>
      <c r="S11" s="2163"/>
      <c r="T11" s="1593"/>
      <c r="U11" s="2163"/>
      <c r="V11" s="2178"/>
      <c r="W11" s="1594"/>
      <c r="X11" s="2163"/>
      <c r="Y11" s="2163"/>
      <c r="Z11" s="1591"/>
      <c r="AA11" s="2163"/>
      <c r="AB11" s="2178"/>
      <c r="AC11" s="1595"/>
      <c r="AD11" s="2163"/>
      <c r="AE11" s="2163"/>
      <c r="AF11" s="1520"/>
      <c r="AG11" s="1520"/>
      <c r="AH11" s="1596"/>
      <c r="AI11" s="1303"/>
      <c r="AJ11" s="1581"/>
      <c r="BM11" s="300">
        <v>14</v>
      </c>
    </row>
    <row customHeight="1" ht="14.699999999999998">
      <c r="D12" s="2209"/>
      <c r="E12" s="2205"/>
      <c r="F12" s="2205"/>
      <c r="G12" s="2212"/>
      <c r="H12" s="1607"/>
      <c r="I12" s="2208"/>
      <c r="J12" s="2179"/>
      <c r="K12" s="1617"/>
      <c r="L12" s="2164"/>
      <c r="M12" s="2164"/>
      <c r="N12" s="1597"/>
      <c r="O12" s="2164"/>
      <c r="P12" s="2179"/>
      <c r="Q12" s="1598"/>
      <c r="R12" s="2164"/>
      <c r="S12" s="2164"/>
      <c r="T12" s="1599"/>
      <c r="U12" s="2164"/>
      <c r="V12" s="2179"/>
      <c r="W12" s="1600"/>
      <c r="X12" s="2164"/>
      <c r="Y12" s="2164"/>
      <c r="Z12" s="1597"/>
      <c r="AA12" s="2164"/>
      <c r="AB12" s="2179"/>
      <c r="AC12" s="1601"/>
      <c r="AD12" s="2164"/>
      <c r="AE12" s="2164"/>
      <c r="AF12" s="1602"/>
      <c r="AG12" s="1602"/>
      <c r="AH12" s="2203"/>
      <c r="AI12" s="2204"/>
      <c r="AJ12" s="1581"/>
      <c r="BM12" s="300">
        <v>14</v>
      </c>
    </row>
    <row customHeight="1" ht="14.699999999999998">
      <c r="D13" s="2209"/>
      <c r="E13" s="2205"/>
      <c r="F13" s="2205"/>
      <c r="G13" s="2212"/>
      <c r="H13" s="1607"/>
      <c r="I13" s="2208"/>
      <c r="J13" s="2179"/>
      <c r="K13" s="1617"/>
      <c r="L13" s="2164"/>
      <c r="M13" s="2164"/>
      <c r="N13" s="1597"/>
      <c r="O13" s="2164"/>
      <c r="P13" s="2179"/>
      <c r="Q13" s="1598"/>
      <c r="R13" s="2164"/>
      <c r="S13" s="2164"/>
      <c r="T13" s="1599"/>
      <c r="U13" s="2164"/>
      <c r="V13" s="2179"/>
      <c r="W13" s="1600"/>
      <c r="X13" s="2164"/>
      <c r="Y13" s="2164"/>
      <c r="Z13" s="1519"/>
      <c r="AA13" s="1602"/>
      <c r="AB13" s="2203"/>
      <c r="AC13" s="2203"/>
      <c r="AD13" s="2203"/>
      <c r="AE13" s="2203"/>
      <c r="AF13" s="2203"/>
      <c r="AG13" s="2203"/>
      <c r="AH13" s="2203"/>
      <c r="AI13" s="2204"/>
      <c r="AJ13" s="1581"/>
      <c r="BM13" s="300">
        <v>14</v>
      </c>
    </row>
    <row customHeight="1" ht="14.699999999999998">
      <c r="D14" s="2209"/>
      <c r="E14" s="2205"/>
      <c r="F14" s="2205"/>
      <c r="G14" s="2212"/>
      <c r="H14" s="1607"/>
      <c r="I14" s="2208"/>
      <c r="J14" s="2179"/>
      <c r="K14" s="1617"/>
      <c r="L14" s="2164"/>
      <c r="M14" s="2164"/>
      <c r="N14" s="1597"/>
      <c r="O14" s="2164"/>
      <c r="P14" s="2179"/>
      <c r="Q14" s="1598"/>
      <c r="R14" s="2164"/>
      <c r="S14" s="2164"/>
      <c r="T14" s="1603"/>
      <c r="U14" s="1604"/>
      <c r="V14" s="2203"/>
      <c r="W14" s="2203"/>
      <c r="X14" s="2203"/>
      <c r="Y14" s="2203"/>
      <c r="Z14" s="2203"/>
      <c r="AA14" s="2203"/>
      <c r="AB14" s="2203"/>
      <c r="AC14" s="2203"/>
      <c r="AD14" s="2203"/>
      <c r="AE14" s="2203"/>
      <c r="AF14" s="2203"/>
      <c r="AG14" s="2203"/>
      <c r="AH14" s="2203"/>
      <c r="AI14" s="2204"/>
      <c r="AJ14" s="1581"/>
      <c r="BM14" s="300">
        <v>14</v>
      </c>
    </row>
    <row customHeight="1" ht="11.549999999999999">
      <c r="D15" s="2209"/>
      <c r="E15" s="2205"/>
      <c r="F15" s="2205"/>
      <c r="G15" s="2212"/>
      <c r="H15" s="1608"/>
      <c r="I15" s="2208"/>
      <c r="J15" s="2179"/>
      <c r="K15" s="1617"/>
      <c r="L15" s="2164"/>
      <c r="M15" s="2164"/>
      <c r="N15" s="1602"/>
      <c r="O15" s="1602"/>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81"/>
      <c r="BM15" s="300">
        <v>11</v>
      </c>
    </row>
    <row s="1561" customFormat="1" customHeight="1" ht="11.549999999999999">
      <c r="D16" s="2215"/>
      <c r="E16" s="2216"/>
      <c r="F16" s="2206"/>
      <c r="G16" s="2138"/>
      <c r="H16" s="1605"/>
      <c r="I16" s="1609"/>
      <c r="J16" s="2213"/>
      <c r="K16" s="2213"/>
      <c r="L16" s="2213"/>
      <c r="M16" s="2213"/>
      <c r="N16" s="2213"/>
      <c r="O16" s="2213"/>
      <c r="P16" s="2213"/>
      <c r="Q16" s="2213"/>
      <c r="R16" s="2213"/>
      <c r="S16" s="2213"/>
      <c r="T16" s="2213"/>
      <c r="U16" s="2213"/>
      <c r="V16" s="2213"/>
      <c r="W16" s="2213"/>
      <c r="X16" s="2213"/>
      <c r="Y16" s="2213"/>
      <c r="Z16" s="2213"/>
      <c r="AA16" s="2213"/>
      <c r="AB16" s="2213"/>
      <c r="AC16" s="2213"/>
      <c r="AD16" s="2213"/>
      <c r="AE16" s="2213"/>
      <c r="AF16" s="2213"/>
      <c r="AG16" s="2213"/>
      <c r="AH16" s="2213"/>
      <c r="AI16" s="2214"/>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9" t="s">
        <v>110</v>
      </c>
      <c r="E17" s="2205" t="s">
        <v>292</v>
      </c>
      <c r="F17" s="2205" t="s">
        <v>294</v>
      </c>
      <c r="G17" s="2211" t="s">
        <v>19</v>
      </c>
      <c r="H17" s="1606"/>
      <c r="I17" s="2207"/>
      <c r="J17" s="2178"/>
      <c r="K17" s="1521"/>
      <c r="L17" s="2163"/>
      <c r="M17" s="2163"/>
      <c r="N17" s="1591"/>
      <c r="O17" s="2163"/>
      <c r="P17" s="2178"/>
      <c r="Q17" s="1592"/>
      <c r="R17" s="2163"/>
      <c r="S17" s="2163"/>
      <c r="T17" s="1593"/>
      <c r="U17" s="2163"/>
      <c r="V17" s="2178"/>
      <c r="W17" s="1594"/>
      <c r="X17" s="2163"/>
      <c r="Y17" s="2163"/>
      <c r="Z17" s="1591"/>
      <c r="AA17" s="2163"/>
      <c r="AB17" s="2178"/>
      <c r="AC17" s="1595"/>
      <c r="AD17" s="2163"/>
      <c r="AE17" s="2163"/>
      <c r="AF17" s="1520"/>
      <c r="AG17" s="1520"/>
      <c r="AH17" s="1596"/>
      <c r="AI17" s="1303"/>
      <c r="AJ17" s="1581"/>
      <c r="BM17" s="300">
        <v>14</v>
      </c>
    </row>
    <row customHeight="1" ht="14.699999999999998">
      <c r="D18" s="2209"/>
      <c r="E18" s="2205"/>
      <c r="F18" s="2205"/>
      <c r="G18" s="2212"/>
      <c r="H18" s="1607"/>
      <c r="I18" s="2208"/>
      <c r="J18" s="2179"/>
      <c r="K18" s="1590"/>
      <c r="L18" s="2164"/>
      <c r="M18" s="2164"/>
      <c r="N18" s="1597"/>
      <c r="O18" s="2164"/>
      <c r="P18" s="2179"/>
      <c r="Q18" s="1598"/>
      <c r="R18" s="2164"/>
      <c r="S18" s="2164"/>
      <c r="T18" s="1599"/>
      <c r="U18" s="2164"/>
      <c r="V18" s="2179"/>
      <c r="W18" s="1600"/>
      <c r="X18" s="2164"/>
      <c r="Y18" s="2164"/>
      <c r="Z18" s="1597"/>
      <c r="AA18" s="2164"/>
      <c r="AB18" s="2179"/>
      <c r="AC18" s="1601"/>
      <c r="AD18" s="2164"/>
      <c r="AE18" s="2164"/>
      <c r="AF18" s="1602"/>
      <c r="AG18" s="1602"/>
      <c r="AH18" s="2203"/>
      <c r="AI18" s="2204"/>
      <c r="AJ18" s="1581"/>
      <c r="BM18" s="300">
        <v>14</v>
      </c>
    </row>
    <row customHeight="1" ht="14.699999999999998">
      <c r="D19" s="2209"/>
      <c r="E19" s="2205"/>
      <c r="F19" s="2205"/>
      <c r="G19" s="2212"/>
      <c r="H19" s="1607"/>
      <c r="I19" s="2208"/>
      <c r="J19" s="2179"/>
      <c r="K19" s="1590"/>
      <c r="L19" s="2164"/>
      <c r="M19" s="2164"/>
      <c r="N19" s="1597"/>
      <c r="O19" s="2164"/>
      <c r="P19" s="2179"/>
      <c r="Q19" s="1598"/>
      <c r="R19" s="2164"/>
      <c r="S19" s="2164"/>
      <c r="T19" s="1599"/>
      <c r="U19" s="2164"/>
      <c r="V19" s="2179"/>
      <c r="W19" s="1600"/>
      <c r="X19" s="2164"/>
      <c r="Y19" s="2164"/>
      <c r="Z19" s="1519"/>
      <c r="AA19" s="1602"/>
      <c r="AB19" s="2203"/>
      <c r="AC19" s="2203"/>
      <c r="AD19" s="2203"/>
      <c r="AE19" s="2203"/>
      <c r="AF19" s="2203"/>
      <c r="AG19" s="2203"/>
      <c r="AH19" s="2203"/>
      <c r="AI19" s="2204"/>
      <c r="AJ19" s="1581"/>
      <c r="BM19" s="300">
        <v>14</v>
      </c>
    </row>
    <row customHeight="1" ht="14.699999999999998">
      <c r="D20" s="2209"/>
      <c r="E20" s="2205"/>
      <c r="F20" s="2205"/>
      <c r="G20" s="2212"/>
      <c r="H20" s="1607"/>
      <c r="I20" s="2208"/>
      <c r="J20" s="2179"/>
      <c r="K20" s="1590"/>
      <c r="L20" s="2164"/>
      <c r="M20" s="2164"/>
      <c r="N20" s="1597"/>
      <c r="O20" s="2164"/>
      <c r="P20" s="2179"/>
      <c r="Q20" s="1598"/>
      <c r="R20" s="2164"/>
      <c r="S20" s="2164"/>
      <c r="T20" s="1603"/>
      <c r="U20" s="1604"/>
      <c r="V20" s="2203"/>
      <c r="W20" s="2203"/>
      <c r="X20" s="2203"/>
      <c r="Y20" s="2203"/>
      <c r="Z20" s="2203"/>
      <c r="AA20" s="2203"/>
      <c r="AB20" s="2203"/>
      <c r="AC20" s="2203"/>
      <c r="AD20" s="2203"/>
      <c r="AE20" s="2203"/>
      <c r="AF20" s="2203"/>
      <c r="AG20" s="2203"/>
      <c r="AH20" s="2203"/>
      <c r="AI20" s="2204"/>
      <c r="AJ20" s="1581"/>
      <c r="BM20" s="300">
        <v>14</v>
      </c>
    </row>
    <row customHeight="1" ht="11.549999999999999">
      <c r="D21" s="2209"/>
      <c r="E21" s="2205"/>
      <c r="F21" s="2205"/>
      <c r="G21" s="2212"/>
      <c r="H21" s="1608"/>
      <c r="I21" s="2208"/>
      <c r="J21" s="2179"/>
      <c r="K21" s="1590"/>
      <c r="L21" s="2164"/>
      <c r="M21" s="2164"/>
      <c r="N21" s="1602"/>
      <c r="O21" s="1602"/>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81"/>
      <c r="BM21" s="300">
        <v>11</v>
      </c>
    </row>
    <row s="1561" customFormat="1" customHeight="1" ht="11.549999999999999">
      <c r="D22" s="2215"/>
      <c r="E22" s="2216"/>
      <c r="F22" s="2206"/>
      <c r="G22" s="2138"/>
      <c r="H22" s="1605"/>
      <c r="I22" s="1609"/>
      <c r="J22" s="2213"/>
      <c r="K22" s="2213"/>
      <c r="L22" s="2213"/>
      <c r="M22" s="2213"/>
      <c r="N22" s="2213"/>
      <c r="O22" s="2213"/>
      <c r="P22" s="2213"/>
      <c r="Q22" s="2213"/>
      <c r="R22" s="2213"/>
      <c r="S22" s="2213"/>
      <c r="T22" s="2213"/>
      <c r="U22" s="2213"/>
      <c r="V22" s="2213"/>
      <c r="W22" s="2213"/>
      <c r="X22" s="2213"/>
      <c r="Y22" s="2213"/>
      <c r="Z22" s="2213"/>
      <c r="AA22" s="2213"/>
      <c r="AB22" s="2213"/>
      <c r="AC22" s="2213"/>
      <c r="AD22" s="2213"/>
      <c r="AE22" s="2213"/>
      <c r="AF22" s="2213"/>
      <c r="AG22" s="2213"/>
      <c r="AH22" s="2213"/>
      <c r="AI22" s="2214"/>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9" t="s">
        <v>90</v>
      </c>
      <c r="E23" s="2205" t="s">
        <v>292</v>
      </c>
      <c r="F23" s="2205" t="s">
        <v>295</v>
      </c>
      <c r="G23" s="2211" t="s">
        <v>19</v>
      </c>
      <c r="H23" s="1606"/>
      <c r="I23" s="2207"/>
      <c r="J23" s="2178"/>
      <c r="K23" s="1521"/>
      <c r="L23" s="2163"/>
      <c r="M23" s="2163"/>
      <c r="N23" s="1591"/>
      <c r="O23" s="2163"/>
      <c r="P23" s="2178"/>
      <c r="Q23" s="1592"/>
      <c r="R23" s="2163"/>
      <c r="S23" s="2163"/>
      <c r="T23" s="1593"/>
      <c r="U23" s="2163"/>
      <c r="V23" s="2178"/>
      <c r="W23" s="1594"/>
      <c r="X23" s="2163"/>
      <c r="Y23" s="2163"/>
      <c r="Z23" s="1591"/>
      <c r="AA23" s="2163"/>
      <c r="AB23" s="2178"/>
      <c r="AC23" s="1595"/>
      <c r="AD23" s="2163"/>
      <c r="AE23" s="2163"/>
      <c r="AF23" s="1520"/>
      <c r="AG23" s="1520"/>
      <c r="AH23" s="1596"/>
      <c r="AI23" s="1303"/>
      <c r="AJ23" s="1581"/>
      <c r="AK23" s="313" t="s">
        <v>98</v>
      </c>
      <c r="BM23" s="300">
        <v>14</v>
      </c>
    </row>
    <row customHeight="1" ht="14.699999999999998">
      <c r="D24" s="2209"/>
      <c r="E24" s="2205"/>
      <c r="F24" s="2205"/>
      <c r="G24" s="2212"/>
      <c r="H24" s="1607"/>
      <c r="I24" s="2208"/>
      <c r="J24" s="2179"/>
      <c r="K24" s="1617"/>
      <c r="L24" s="2164"/>
      <c r="M24" s="2164"/>
      <c r="N24" s="1597"/>
      <c r="O24" s="2164"/>
      <c r="P24" s="2179"/>
      <c r="Q24" s="1598"/>
      <c r="R24" s="2164"/>
      <c r="S24" s="2164"/>
      <c r="T24" s="1599"/>
      <c r="U24" s="2164"/>
      <c r="V24" s="2179"/>
      <c r="W24" s="1600"/>
      <c r="X24" s="2164"/>
      <c r="Y24" s="2164"/>
      <c r="Z24" s="1597"/>
      <c r="AA24" s="2164"/>
      <c r="AB24" s="2179"/>
      <c r="AC24" s="1601"/>
      <c r="AD24" s="2164"/>
      <c r="AE24" s="2164"/>
      <c r="AF24" s="1602"/>
      <c r="AG24" s="1602"/>
      <c r="AH24" s="2203"/>
      <c r="AI24" s="2204"/>
      <c r="AJ24" s="1581"/>
      <c r="BM24" s="300">
        <v>14</v>
      </c>
    </row>
    <row customHeight="1" ht="14.699999999999998">
      <c r="D25" s="2209"/>
      <c r="E25" s="2205"/>
      <c r="F25" s="2205"/>
      <c r="G25" s="2212"/>
      <c r="H25" s="1607"/>
      <c r="I25" s="2208"/>
      <c r="J25" s="2179"/>
      <c r="K25" s="1617"/>
      <c r="L25" s="2164"/>
      <c r="M25" s="2164"/>
      <c r="N25" s="1597"/>
      <c r="O25" s="2164"/>
      <c r="P25" s="2179"/>
      <c r="Q25" s="1598"/>
      <c r="R25" s="2164"/>
      <c r="S25" s="2164"/>
      <c r="T25" s="1599"/>
      <c r="U25" s="2164"/>
      <c r="V25" s="2179"/>
      <c r="W25" s="1600"/>
      <c r="X25" s="2164"/>
      <c r="Y25" s="2164"/>
      <c r="Z25" s="1519"/>
      <c r="AA25" s="1602"/>
      <c r="AB25" s="2203"/>
      <c r="AC25" s="2203"/>
      <c r="AD25" s="2203"/>
      <c r="AE25" s="2203"/>
      <c r="AF25" s="2203"/>
      <c r="AG25" s="2203"/>
      <c r="AH25" s="2203"/>
      <c r="AI25" s="2204"/>
      <c r="AJ25" s="1581"/>
      <c r="BM25" s="300">
        <v>14</v>
      </c>
    </row>
    <row customHeight="1" ht="14.699999999999998">
      <c r="D26" s="2209"/>
      <c r="E26" s="2205"/>
      <c r="F26" s="2205"/>
      <c r="G26" s="2212"/>
      <c r="H26" s="1607"/>
      <c r="I26" s="2208"/>
      <c r="J26" s="2179"/>
      <c r="K26" s="1617"/>
      <c r="L26" s="2164"/>
      <c r="M26" s="2164"/>
      <c r="N26" s="1597"/>
      <c r="O26" s="2164"/>
      <c r="P26" s="2179"/>
      <c r="Q26" s="1598"/>
      <c r="R26" s="2164"/>
      <c r="S26" s="2164"/>
      <c r="T26" s="1603"/>
      <c r="U26" s="1604"/>
      <c r="V26" s="2203"/>
      <c r="W26" s="2203"/>
      <c r="X26" s="2203"/>
      <c r="Y26" s="2203"/>
      <c r="Z26" s="2203"/>
      <c r="AA26" s="2203"/>
      <c r="AB26" s="2203"/>
      <c r="AC26" s="2203"/>
      <c r="AD26" s="2203"/>
      <c r="AE26" s="2203"/>
      <c r="AF26" s="2203"/>
      <c r="AG26" s="2203"/>
      <c r="AH26" s="2203"/>
      <c r="AI26" s="2204"/>
      <c r="AJ26" s="1581"/>
      <c r="BM26" s="300">
        <v>14</v>
      </c>
    </row>
    <row customHeight="1" ht="11.549999999999999">
      <c r="D27" s="2209"/>
      <c r="E27" s="2205"/>
      <c r="F27" s="2205"/>
      <c r="G27" s="2212"/>
      <c r="H27" s="1608"/>
      <c r="I27" s="2208"/>
      <c r="J27" s="2179"/>
      <c r="K27" s="1617"/>
      <c r="L27" s="2164"/>
      <c r="M27" s="2164"/>
      <c r="N27" s="1602"/>
      <c r="O27" s="1602"/>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81"/>
      <c r="BM27" s="300">
        <v>11</v>
      </c>
    </row>
    <row s="1561" customFormat="1" customHeight="1" ht="11.549999999999999">
      <c r="D28" s="2215"/>
      <c r="E28" s="2216"/>
      <c r="F28" s="2206"/>
      <c r="G28" s="2138"/>
      <c r="H28" s="1605"/>
      <c r="I28" s="1609"/>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4"/>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9" t="s">
        <v>91</v>
      </c>
      <c r="E29" s="2205" t="s">
        <v>292</v>
      </c>
      <c r="F29" s="2205" t="s">
        <v>296</v>
      </c>
      <c r="G29" s="2211" t="s">
        <v>19</v>
      </c>
      <c r="H29" s="1606"/>
      <c r="I29" s="2207"/>
      <c r="J29" s="2178"/>
      <c r="K29" s="1521"/>
      <c r="L29" s="2163"/>
      <c r="M29" s="2163"/>
      <c r="N29" s="1591"/>
      <c r="O29" s="2163"/>
      <c r="P29" s="2178"/>
      <c r="Q29" s="1592"/>
      <c r="R29" s="2163"/>
      <c r="S29" s="2163"/>
      <c r="T29" s="1593"/>
      <c r="U29" s="2163"/>
      <c r="V29" s="2178"/>
      <c r="W29" s="1594"/>
      <c r="X29" s="2163"/>
      <c r="Y29" s="2163"/>
      <c r="Z29" s="1591"/>
      <c r="AA29" s="2163"/>
      <c r="AB29" s="2178"/>
      <c r="AC29" s="1595"/>
      <c r="AD29" s="2163"/>
      <c r="AE29" s="2163"/>
      <c r="AF29" s="1520"/>
      <c r="AG29" s="1520"/>
      <c r="AH29" s="1596"/>
      <c r="AI29" s="1303"/>
      <c r="AJ29" s="1581"/>
      <c r="BM29" s="300">
        <v>14</v>
      </c>
    </row>
    <row customHeight="1" ht="14.699999999999998">
      <c r="D30" s="2209"/>
      <c r="E30" s="2205"/>
      <c r="F30" s="2205"/>
      <c r="G30" s="2212"/>
      <c r="H30" s="1607"/>
      <c r="I30" s="2208"/>
      <c r="J30" s="2179"/>
      <c r="K30" s="1590"/>
      <c r="L30" s="2164"/>
      <c r="M30" s="2164"/>
      <c r="N30" s="1597"/>
      <c r="O30" s="2164"/>
      <c r="P30" s="2179"/>
      <c r="Q30" s="1598"/>
      <c r="R30" s="2164"/>
      <c r="S30" s="2164"/>
      <c r="T30" s="1599"/>
      <c r="U30" s="2164"/>
      <c r="V30" s="2179"/>
      <c r="W30" s="1600"/>
      <c r="X30" s="2164"/>
      <c r="Y30" s="2164"/>
      <c r="Z30" s="1597"/>
      <c r="AA30" s="2164"/>
      <c r="AB30" s="2179"/>
      <c r="AC30" s="1601"/>
      <c r="AD30" s="2164"/>
      <c r="AE30" s="2164"/>
      <c r="AF30" s="1602"/>
      <c r="AG30" s="1602"/>
      <c r="AH30" s="2203"/>
      <c r="AI30" s="2204"/>
      <c r="AJ30" s="1581"/>
      <c r="BM30" s="300">
        <v>14</v>
      </c>
    </row>
    <row customHeight="1" ht="14.699999999999998">
      <c r="D31" s="2209"/>
      <c r="E31" s="2205"/>
      <c r="F31" s="2205"/>
      <c r="G31" s="2212"/>
      <c r="H31" s="1607"/>
      <c r="I31" s="2208"/>
      <c r="J31" s="2179"/>
      <c r="K31" s="1590"/>
      <c r="L31" s="2164"/>
      <c r="M31" s="2164"/>
      <c r="N31" s="1597"/>
      <c r="O31" s="2164"/>
      <c r="P31" s="2179"/>
      <c r="Q31" s="1598"/>
      <c r="R31" s="2164"/>
      <c r="S31" s="2164"/>
      <c r="T31" s="1599"/>
      <c r="U31" s="2164"/>
      <c r="V31" s="2179"/>
      <c r="W31" s="1600"/>
      <c r="X31" s="2164"/>
      <c r="Y31" s="2164"/>
      <c r="Z31" s="1519"/>
      <c r="AA31" s="1602"/>
      <c r="AB31" s="2203"/>
      <c r="AC31" s="2203"/>
      <c r="AD31" s="2203"/>
      <c r="AE31" s="2203"/>
      <c r="AF31" s="2203"/>
      <c r="AG31" s="2203"/>
      <c r="AH31" s="2203"/>
      <c r="AI31" s="2204"/>
      <c r="AJ31" s="1581"/>
      <c r="BM31" s="300">
        <v>14</v>
      </c>
    </row>
    <row customHeight="1" ht="14.699999999999998">
      <c r="D32" s="2209"/>
      <c r="E32" s="2205"/>
      <c r="F32" s="2205"/>
      <c r="G32" s="2212"/>
      <c r="H32" s="1607"/>
      <c r="I32" s="2208"/>
      <c r="J32" s="2179"/>
      <c r="K32" s="1590"/>
      <c r="L32" s="2164"/>
      <c r="M32" s="2164"/>
      <c r="N32" s="1597"/>
      <c r="O32" s="2164"/>
      <c r="P32" s="2179"/>
      <c r="Q32" s="1598"/>
      <c r="R32" s="2164"/>
      <c r="S32" s="2164"/>
      <c r="T32" s="1603"/>
      <c r="U32" s="1604"/>
      <c r="V32" s="2203"/>
      <c r="W32" s="2203"/>
      <c r="X32" s="2203"/>
      <c r="Y32" s="2203"/>
      <c r="Z32" s="2203"/>
      <c r="AA32" s="2203"/>
      <c r="AB32" s="2203"/>
      <c r="AC32" s="2203"/>
      <c r="AD32" s="2203"/>
      <c r="AE32" s="2203"/>
      <c r="AF32" s="2203"/>
      <c r="AG32" s="2203"/>
      <c r="AH32" s="2203"/>
      <c r="AI32" s="2204"/>
      <c r="AJ32" s="1581"/>
      <c r="BM32" s="300">
        <v>14</v>
      </c>
    </row>
    <row customHeight="1" ht="11.549999999999999">
      <c r="D33" s="2209"/>
      <c r="E33" s="2205"/>
      <c r="F33" s="2205"/>
      <c r="G33" s="2212"/>
      <c r="H33" s="1608"/>
      <c r="I33" s="2208"/>
      <c r="J33" s="2179"/>
      <c r="K33" s="1590"/>
      <c r="L33" s="2164"/>
      <c r="M33" s="2164"/>
      <c r="N33" s="1602"/>
      <c r="O33" s="1602"/>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81"/>
      <c r="BM33" s="300">
        <v>11</v>
      </c>
    </row>
    <row s="1561" customFormat="1" customHeight="1" ht="11.549999999999999">
      <c r="D34" s="2215"/>
      <c r="E34" s="2216"/>
      <c r="F34" s="2206"/>
      <c r="G34" s="2138"/>
      <c r="H34" s="1605"/>
      <c r="I34" s="1609"/>
      <c r="J34" s="2213"/>
      <c r="K34" s="2213"/>
      <c r="L34" s="2213"/>
      <c r="M34" s="2213"/>
      <c r="N34" s="2213"/>
      <c r="O34" s="2213"/>
      <c r="P34" s="2213"/>
      <c r="Q34" s="2213"/>
      <c r="R34" s="2213"/>
      <c r="S34" s="2213"/>
      <c r="T34" s="2213"/>
      <c r="U34" s="2213"/>
      <c r="V34" s="2213"/>
      <c r="W34" s="2213"/>
      <c r="X34" s="2213"/>
      <c r="Y34" s="2213"/>
      <c r="Z34" s="2213"/>
      <c r="AA34" s="2213"/>
      <c r="AB34" s="2213"/>
      <c r="AC34" s="2213"/>
      <c r="AD34" s="2213"/>
      <c r="AE34" s="2213"/>
      <c r="AF34" s="2213"/>
      <c r="AG34" s="2213"/>
      <c r="AH34" s="2213"/>
      <c r="AI34" s="2214"/>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9" t="s">
        <v>111</v>
      </c>
      <c r="E35" s="2205" t="s">
        <v>292</v>
      </c>
      <c r="F35" s="2205" t="s">
        <v>297</v>
      </c>
      <c r="G35" s="2211" t="s">
        <v>19</v>
      </c>
      <c r="H35" s="1606"/>
      <c r="I35" s="2207"/>
      <c r="J35" s="2178"/>
      <c r="K35" s="1521"/>
      <c r="L35" s="2163"/>
      <c r="M35" s="2163"/>
      <c r="N35" s="1591"/>
      <c r="O35" s="2163"/>
      <c r="P35" s="2178"/>
      <c r="Q35" s="1592"/>
      <c r="R35" s="2163"/>
      <c r="S35" s="2163"/>
      <c r="T35" s="1593"/>
      <c r="U35" s="2163"/>
      <c r="V35" s="2178"/>
      <c r="W35" s="1594"/>
      <c r="X35" s="2163"/>
      <c r="Y35" s="2163"/>
      <c r="Z35" s="1591"/>
      <c r="AA35" s="2163"/>
      <c r="AB35" s="2178"/>
      <c r="AC35" s="1595"/>
      <c r="AD35" s="2163"/>
      <c r="AE35" s="2163"/>
      <c r="AF35" s="1520"/>
      <c r="AG35" s="1520"/>
      <c r="AH35" s="1596"/>
      <c r="AI35" s="1303"/>
      <c r="AJ35" s="1581"/>
      <c r="BM35" s="300">
        <v>14</v>
      </c>
    </row>
    <row customHeight="1" ht="14.699999999999998">
      <c r="D36" s="2209"/>
      <c r="E36" s="2205"/>
      <c r="F36" s="2205"/>
      <c r="G36" s="2212"/>
      <c r="H36" s="1607"/>
      <c r="I36" s="2208"/>
      <c r="J36" s="2179"/>
      <c r="K36" s="1590"/>
      <c r="L36" s="2164"/>
      <c r="M36" s="2164"/>
      <c r="N36" s="1597"/>
      <c r="O36" s="2164"/>
      <c r="P36" s="2179"/>
      <c r="Q36" s="1598"/>
      <c r="R36" s="2164"/>
      <c r="S36" s="2164"/>
      <c r="T36" s="1599"/>
      <c r="U36" s="2164"/>
      <c r="V36" s="2179"/>
      <c r="W36" s="1600"/>
      <c r="X36" s="2164"/>
      <c r="Y36" s="2164"/>
      <c r="Z36" s="1597"/>
      <c r="AA36" s="2164"/>
      <c r="AB36" s="2179"/>
      <c r="AC36" s="1601"/>
      <c r="AD36" s="2164"/>
      <c r="AE36" s="2164"/>
      <c r="AF36" s="1602"/>
      <c r="AG36" s="1602"/>
      <c r="AH36" s="2203"/>
      <c r="AI36" s="2204"/>
      <c r="AJ36" s="1581"/>
      <c r="BM36" s="300">
        <v>14</v>
      </c>
    </row>
    <row customHeight="1" ht="14.699999999999998">
      <c r="D37" s="2209"/>
      <c r="E37" s="2205"/>
      <c r="F37" s="2205"/>
      <c r="G37" s="2212"/>
      <c r="H37" s="1607"/>
      <c r="I37" s="2208"/>
      <c r="J37" s="2179"/>
      <c r="K37" s="1590"/>
      <c r="L37" s="2164"/>
      <c r="M37" s="2164"/>
      <c r="N37" s="1597"/>
      <c r="O37" s="2164"/>
      <c r="P37" s="2179"/>
      <c r="Q37" s="1598"/>
      <c r="R37" s="2164"/>
      <c r="S37" s="2164"/>
      <c r="T37" s="1599"/>
      <c r="U37" s="2164"/>
      <c r="V37" s="2179"/>
      <c r="W37" s="1600"/>
      <c r="X37" s="2164"/>
      <c r="Y37" s="2164"/>
      <c r="Z37" s="1519"/>
      <c r="AA37" s="1602"/>
      <c r="AB37" s="2203"/>
      <c r="AC37" s="2203"/>
      <c r="AD37" s="2203"/>
      <c r="AE37" s="2203"/>
      <c r="AF37" s="2203"/>
      <c r="AG37" s="2203"/>
      <c r="AH37" s="2203"/>
      <c r="AI37" s="2204"/>
      <c r="AJ37" s="1581"/>
      <c r="BM37" s="300">
        <v>14</v>
      </c>
    </row>
    <row customHeight="1" ht="14.699999999999998">
      <c r="D38" s="2209"/>
      <c r="E38" s="2205"/>
      <c r="F38" s="2205"/>
      <c r="G38" s="2212"/>
      <c r="H38" s="1607"/>
      <c r="I38" s="2208"/>
      <c r="J38" s="2179"/>
      <c r="K38" s="1590"/>
      <c r="L38" s="2164"/>
      <c r="M38" s="2164"/>
      <c r="N38" s="1597"/>
      <c r="O38" s="2164"/>
      <c r="P38" s="2179"/>
      <c r="Q38" s="1598"/>
      <c r="R38" s="2164"/>
      <c r="S38" s="2164"/>
      <c r="T38" s="1603"/>
      <c r="U38" s="1604"/>
      <c r="V38" s="2203"/>
      <c r="W38" s="2203"/>
      <c r="X38" s="2203"/>
      <c r="Y38" s="2203"/>
      <c r="Z38" s="2203"/>
      <c r="AA38" s="2203"/>
      <c r="AB38" s="2203"/>
      <c r="AC38" s="2203"/>
      <c r="AD38" s="2203"/>
      <c r="AE38" s="2203"/>
      <c r="AF38" s="2203"/>
      <c r="AG38" s="2203"/>
      <c r="AH38" s="2203"/>
      <c r="AI38" s="2204"/>
      <c r="AJ38" s="1581"/>
      <c r="BM38" s="300">
        <v>14</v>
      </c>
    </row>
    <row customHeight="1" ht="11.549999999999999">
      <c r="D39" s="2209"/>
      <c r="E39" s="2205"/>
      <c r="F39" s="2205"/>
      <c r="G39" s="2212"/>
      <c r="H39" s="1608"/>
      <c r="I39" s="2208"/>
      <c r="J39" s="2179"/>
      <c r="K39" s="1590"/>
      <c r="L39" s="2164"/>
      <c r="M39" s="2164"/>
      <c r="N39" s="1602"/>
      <c r="O39" s="1602"/>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81"/>
      <c r="BM39" s="300">
        <v>11</v>
      </c>
    </row>
    <row s="1561" customFormat="1" customHeight="1" ht="11.549999999999999">
      <c r="D40" s="2209"/>
      <c r="E40" s="2205"/>
      <c r="F40" s="2210"/>
      <c r="G40" s="2138"/>
      <c r="H40" s="1605"/>
      <c r="I40" s="1609"/>
      <c r="J40" s="2213"/>
      <c r="K40" s="2213"/>
      <c r="L40" s="2213"/>
      <c r="M40" s="2213"/>
      <c r="N40" s="2213"/>
      <c r="O40" s="2213"/>
      <c r="P40" s="2213"/>
      <c r="Q40" s="2213"/>
      <c r="R40" s="2213"/>
      <c r="S40" s="2213"/>
      <c r="T40" s="2213"/>
      <c r="U40" s="2213"/>
      <c r="V40" s="2213"/>
      <c r="W40" s="2213"/>
      <c r="X40" s="2213"/>
      <c r="Y40" s="2213"/>
      <c r="Z40" s="2213"/>
      <c r="AA40" s="2213"/>
      <c r="AB40" s="2213"/>
      <c r="AC40" s="2213"/>
      <c r="AD40" s="2213"/>
      <c r="AE40" s="2213"/>
      <c r="AF40" s="2213"/>
      <c r="AG40" s="2213"/>
      <c r="AH40" s="2213"/>
      <c r="AI40" s="2214"/>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298D3-9965-E199-52FB-4DA5F8985BE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43" t="s">
        <v>1952</v>
      </c>
      <c r="C2" s="2526"/>
      <c r="D2" s="2526"/>
      <c r="E2" s="275"/>
      <c r="F2" s="96">
        <v>22</v>
      </c>
    </row>
    <row customHeight="1" ht="3">
      <c r="F3" s="96">
        <v>3</v>
      </c>
    </row>
    <row customHeight="1" ht="23.25">
      <c r="B4" s="2644" t="s">
        <v>1953</v>
      </c>
      <c r="C4" s="390" t="s">
        <v>1954</v>
      </c>
      <c r="D4" s="390" t="s">
        <v>1955</v>
      </c>
      <c r="F4" s="96">
        <v>22</v>
      </c>
    </row>
    <row customHeight="1" ht="11.25" hidden="1">
      <c r="A5" s="96" t="s">
        <v>82</v>
      </c>
      <c r="B5" s="96">
        <v>34</v>
      </c>
      <c r="C5" s="96">
        <v>85</v>
      </c>
      <c r="D5" s="96">
        <v>17</v>
      </c>
      <c r="E5" s="96">
        <v>8</v>
      </c>
      <c r="F5" s="9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5A0F7-4D8D-B382-16C9-6C6E43E0DDF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1956</v>
      </c>
    </row>
    <row r="4" s="271" customFormat="1" customHeight="1" ht="15">
      <c r="C4" s="1822"/>
      <c r="D4" s="120"/>
      <c r="E4" s="384"/>
    </row>
    <row r="6" s="1821" customFormat="1" customHeight="1" ht="17.25">
      <c r="A6" s="1821" t="s">
        <v>1957</v>
      </c>
    </row>
    <row r="8" s="271" customFormat="1" customHeight="1" ht="17.25">
      <c r="C8" s="1823"/>
      <c r="D8" s="120"/>
      <c r="E8" s="121"/>
    </row>
    <row r="11" s="1821" customFormat="1" customHeight="1" ht="17.25">
      <c r="A11" s="1821" t="s">
        <v>1958</v>
      </c>
    </row>
    <row r="13" s="1825" customFormat="1" customHeight="1" ht="15">
      <c r="A13" s="2243">
        <v>1</v>
      </c>
      <c r="B13" s="1167"/>
      <c r="C13" s="808" t="s">
        <v>574</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43"/>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43"/>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1959</v>
      </c>
    </row>
    <row r="19" s="1854" customFormat="1" customHeight="1" ht="15">
      <c r="A19" s="1886"/>
      <c r="B19" s="1373">
        <v>1</v>
      </c>
      <c r="C19" s="1373"/>
      <c r="D19" s="807" t="s">
        <v>574</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1960</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574</v>
      </c>
      <c r="D23" s="2134" t="s">
        <v>109</v>
      </c>
      <c r="E23" s="2135"/>
      <c r="F23" s="2133" t="s">
        <v>19</v>
      </c>
      <c r="G23" s="2583"/>
      <c r="H23" s="2153">
        <v>1</v>
      </c>
      <c r="I23" s="2585" t="str">
        <f>IF(U23="","",INDEX(TERRITORY_MR_LIST,MATCH(U23,TERRITORY_LIST_ID,0)))</f>
        <v/>
      </c>
      <c r="J23" s="2133" t="s">
        <v>19</v>
      </c>
      <c r="K23" s="839"/>
      <c r="L23" s="1788" t="s">
        <v>109</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57" customFormat="1" customHeight="1" ht="15">
      <c r="A24" s="430"/>
      <c r="B24" s="430"/>
      <c r="C24" s="183"/>
      <c r="D24" s="2134"/>
      <c r="E24" s="2136"/>
      <c r="F24" s="2133"/>
      <c r="G24" s="2584"/>
      <c r="H24" s="2153"/>
      <c r="I24" s="2586"/>
      <c r="J24" s="2133"/>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34"/>
      <c r="E25" s="2137"/>
      <c r="F25" s="2133"/>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1961</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7" t="s">
        <v>574</v>
      </c>
      <c r="H29" s="2129">
        <v>1</v>
      </c>
      <c r="I29" s="2588" t="str">
        <f>IF(U29="","",INDEX(TERRITORY_MR_LIST,MATCH(U29,TERRITORY_LIST_ID,0)))</f>
        <v/>
      </c>
      <c r="J29" s="2133" t="s">
        <v>19</v>
      </c>
      <c r="K29" s="839"/>
      <c r="L29" s="1788" t="s">
        <v>109</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7"/>
      <c r="H30" s="2129"/>
      <c r="I30" s="2588"/>
      <c r="J30" s="2133"/>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1962</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574</v>
      </c>
      <c r="L34" s="1735" t="s">
        <v>109</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1963</v>
      </c>
    </row>
    <row customHeight="1" ht="11.25"/>
    <row s="462" customFormat="1" customHeight="1" ht="22.5">
      <c r="A39" s="1797"/>
      <c r="B39" s="464"/>
      <c r="C39" s="866"/>
      <c r="D39" s="447"/>
      <c r="E39" s="867"/>
      <c r="F39" s="1818"/>
      <c r="G39" s="1828"/>
      <c r="H39" s="482"/>
    </row>
    <row customHeight="1" ht="11.25"/>
    <row s="1821" customFormat="1" customHeight="1" ht="11.25">
      <c r="A41" s="1821" t="s">
        <v>1964</v>
      </c>
    </row>
    <row customHeight="1" ht="11.25"/>
    <row s="462" customFormat="1" customHeight="1" ht="22.5">
      <c r="A43" s="464"/>
      <c r="B43" s="464"/>
      <c r="C43" s="464"/>
      <c r="D43" s="447"/>
      <c r="E43" s="867"/>
      <c r="F43" s="868"/>
      <c r="G43" s="1828"/>
      <c r="H43" s="482"/>
    </row>
    <row customHeight="1" ht="11.25"/>
    <row s="1821" customFormat="1" customHeight="1" ht="11.25">
      <c r="A45" s="1821" t="s">
        <v>1965</v>
      </c>
    </row>
    <row customHeight="1" ht="11.25"/>
    <row s="462" customFormat="1" customHeight="1" ht="24">
      <c r="A47" s="2228" t="s">
        <v>312</v>
      </c>
      <c r="B47" s="509"/>
      <c r="C47" s="2239"/>
      <c r="D47" s="452" t="str">
        <f>A47</f>
        <v>5.1</v>
      </c>
      <c r="E47" s="449" t="s">
        <v>313</v>
      </c>
      <c r="F47" s="1980" t="s">
        <v>305</v>
      </c>
      <c r="G47" s="451" t="s">
        <v>314</v>
      </c>
      <c r="H47" s="482"/>
      <c r="I47" s="859"/>
    </row>
    <row s="462" customFormat="1" customHeight="1" ht="22.5">
      <c r="A48" s="2228"/>
      <c r="B48" s="509"/>
      <c r="C48" s="2239"/>
      <c r="D48" s="447" t="str">
        <f>D47&amp;".1"</f>
        <v>5.1.1</v>
      </c>
      <c r="E48" s="446" t="s">
        <v>315</v>
      </c>
      <c r="F48" s="1981" t="s">
        <v>22</v>
      </c>
      <c r="G48" s="481"/>
      <c r="H48" s="482"/>
      <c r="I48" s="859"/>
    </row>
    <row s="462" customFormat="1" customHeight="1" ht="22.5">
      <c r="A49" s="2228"/>
      <c r="B49" s="509"/>
      <c r="C49" s="2239"/>
      <c r="D49" s="447" t="str">
        <f>D47&amp;".2"</f>
        <v>5.1.2</v>
      </c>
      <c r="E49" s="446" t="s">
        <v>316</v>
      </c>
      <c r="F49" s="1738" t="s">
        <v>22</v>
      </c>
      <c r="G49" s="451" t="s">
        <v>317</v>
      </c>
      <c r="H49" s="482"/>
      <c r="I49" s="859"/>
    </row>
    <row s="462" customFormat="1" customHeight="1" ht="22.5">
      <c r="A50" s="2228"/>
      <c r="B50" s="509"/>
      <c r="C50" s="2239"/>
      <c r="D50" s="447" t="str">
        <f>D47&amp;".3"</f>
        <v>5.1.3</v>
      </c>
      <c r="E50" s="446" t="s">
        <v>318</v>
      </c>
      <c r="F50" s="1981" t="s">
        <v>22</v>
      </c>
      <c r="G50" s="481"/>
      <c r="H50" s="482"/>
      <c r="I50" s="859"/>
    </row>
    <row s="462" customFormat="1" customHeight="1" ht="22.5">
      <c r="A51" s="2228"/>
      <c r="B51" s="509"/>
      <c r="C51" s="2239"/>
      <c r="D51" s="447" t="str">
        <f>D47&amp;".4"</f>
        <v>5.1.4</v>
      </c>
      <c r="E51" s="446" t="s">
        <v>319</v>
      </c>
      <c r="F51" s="1981" t="s">
        <v>22</v>
      </c>
      <c r="G51" s="451" t="s">
        <v>320</v>
      </c>
      <c r="H51" s="482"/>
      <c r="I51" s="859"/>
    </row>
    <row r="54" s="1821" customFormat="1" customHeight="1" ht="17.25">
      <c r="A54" s="1821" t="s">
        <v>1966</v>
      </c>
    </row>
    <row r="56" s="1619" customFormat="1" customHeight="1" ht="18.75">
      <c r="A56" s="96"/>
      <c r="B56" s="1829"/>
      <c r="C56" s="1829"/>
      <c r="D56" s="1830"/>
      <c r="E56" s="1815"/>
      <c r="F56" s="875">
        <v>13</v>
      </c>
      <c r="G56" s="874"/>
      <c r="H56" s="800"/>
      <c r="I56" s="798"/>
      <c r="J56" s="527" t="s">
        <v>65</v>
      </c>
      <c r="K56" s="1831" t="s">
        <v>22</v>
      </c>
      <c r="L56" s="96"/>
      <c r="M56" s="1643"/>
      <c r="N56" s="1643"/>
      <c r="O56" s="1643"/>
      <c r="P56" s="523" t="s">
        <v>391</v>
      </c>
      <c r="Q56" s="523" t="s">
        <v>392</v>
      </c>
      <c r="R56" s="524" t="s">
        <v>393</v>
      </c>
      <c r="S56" s="1643" t="s">
        <v>394</v>
      </c>
      <c r="T56" s="1643"/>
      <c r="U56" s="1643"/>
      <c r="V56" s="1643"/>
    </row>
    <row r="58" s="1821" customFormat="1" customHeight="1" ht="11.25">
      <c r="A58" s="1821" t="s">
        <v>1967</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380</v>
      </c>
      <c r="AQ60" s="1631" t="s">
        <v>380</v>
      </c>
      <c r="AR60" s="1643"/>
      <c r="AS60" s="1643"/>
    </row>
    <row r="62" s="1821" customFormat="1" customHeight="1" ht="11.25">
      <c r="A62" s="1821" t="s">
        <v>1968</v>
      </c>
    </row>
    <row r="64" s="1829" customFormat="1" customHeight="1" ht="15">
      <c r="A64" s="152" t="s">
        <v>90</v>
      </c>
      <c r="B64" s="132" t="s">
        <v>22</v>
      </c>
      <c r="C64" s="1832"/>
      <c r="D64" s="135"/>
      <c r="E64" s="388"/>
      <c r="F64" s="388"/>
      <c r="G64" s="1809"/>
      <c r="H64" s="1831"/>
      <c r="I64" s="1810"/>
      <c r="K64" s="279"/>
      <c r="L64" s="280"/>
    </row>
    <row r="66" s="1821" customFormat="1" customHeight="1" ht="11.25">
      <c r="A66" s="1821" t="s">
        <v>1969</v>
      </c>
    </row>
    <row r="68" s="1642" customFormat="1" customHeight="1" ht="14.25">
      <c r="A68" s="350"/>
      <c r="B68" s="1167"/>
      <c r="C68" s="383"/>
      <c r="D68" s="1816"/>
      <c r="E68" s="893"/>
      <c r="F68" s="1831"/>
      <c r="G68" s="96"/>
      <c r="I68" s="1631"/>
      <c r="J68" s="1631"/>
    </row>
    <row r="70" s="1821" customFormat="1" customHeight="1" ht="11.25">
      <c r="A70" s="1821" t="s">
        <v>1970</v>
      </c>
    </row>
    <row r="72" s="1642" customFormat="1" customHeight="1" ht="27">
      <c r="A72" s="1173"/>
      <c r="B72" s="1173"/>
      <c r="C72" s="1173"/>
      <c r="D72" s="1167"/>
      <c r="E72" s="1833"/>
      <c r="F72" s="2607"/>
      <c r="G72" s="2608"/>
      <c r="H72" s="2609" t="s">
        <v>65</v>
      </c>
      <c r="I72" s="2611"/>
      <c r="J72" s="2574"/>
      <c r="K72" s="2613"/>
      <c r="L72" s="2576"/>
      <c r="M72" s="2576"/>
      <c r="N72" s="2577"/>
      <c r="O72" s="2577"/>
      <c r="P72" s="2578">
        <f>DATEDIF(DATEVALUE(N72),DATEVALUE(O72),"y")&amp;"г. "&amp;DATEDIF(DATEVALUE(N72),DATEVALUE(O72),"ym")&amp;"мес. "&amp;DATEVALUE(O72)-DATE(YEAR(DATEVALUE(O72)),MONTH(DATEVALUE(O72)),1)&amp;"дн. "</f>
      </c>
      <c r="Q72" s="2573"/>
      <c r="R72" s="2573"/>
      <c r="S72" s="2573"/>
      <c r="T72" s="2574"/>
      <c r="U72" s="2573"/>
      <c r="V72" s="2573"/>
      <c r="W72" s="2573"/>
      <c r="X72" s="2574"/>
      <c r="Y72" s="2571" t="s">
        <v>65</v>
      </c>
      <c r="Z72" s="1814"/>
      <c r="AA72" s="1798">
        <v>1</v>
      </c>
      <c r="AB72" s="1249"/>
      <c r="AD72" s="1643" t="s">
        <v>1971</v>
      </c>
    </row>
    <row s="1642" customFormat="1" customHeight="1" ht="10.5">
      <c r="A73" s="1173"/>
      <c r="B73" s="1173"/>
      <c r="C73" s="1173"/>
      <c r="D73" s="1167"/>
      <c r="E73" s="954"/>
      <c r="F73" s="2607"/>
      <c r="G73" s="2608"/>
      <c r="H73" s="2610"/>
      <c r="I73" s="2612"/>
      <c r="J73" s="2575"/>
      <c r="K73" s="2613"/>
      <c r="L73" s="2576"/>
      <c r="M73" s="2576"/>
      <c r="N73" s="2577"/>
      <c r="O73" s="2577"/>
      <c r="P73" s="2578"/>
      <c r="Q73" s="2573"/>
      <c r="R73" s="2573"/>
      <c r="S73" s="2573"/>
      <c r="T73" s="2575"/>
      <c r="U73" s="2573"/>
      <c r="V73" s="2573"/>
      <c r="W73" s="2573"/>
      <c r="X73" s="2575"/>
      <c r="Y73" s="2572"/>
      <c r="Z73" s="354"/>
      <c r="AA73" s="579"/>
      <c r="AB73" s="659" t="s">
        <v>1021</v>
      </c>
    </row>
    <row r="75" s="1821" customFormat="1" customHeight="1" ht="11.25">
      <c r="A75" s="1821" t="s">
        <v>1972</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1971</v>
      </c>
    </row>
    <row r="79" s="1821" customFormat="1" customHeight="1" ht="11.25">
      <c r="A79" s="1821" t="s">
        <v>1973</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62"/>
      <c r="G82" s="2541"/>
      <c r="H82" s="2566" t="s">
        <v>375</v>
      </c>
      <c r="I82" s="2567"/>
      <c r="J82" s="2568"/>
      <c r="K82" s="2568"/>
      <c r="L82" s="2560"/>
      <c r="M82" s="2294"/>
      <c r="N82" s="2040"/>
      <c r="O82" s="2039"/>
      <c r="P82" s="2040"/>
      <c r="Q82" s="2040"/>
      <c r="R82" s="2040"/>
      <c r="S82" s="2040"/>
      <c r="T82" s="2040"/>
      <c r="U82" s="2040"/>
      <c r="V82" s="2040"/>
      <c r="W82" s="2040"/>
      <c r="X82" s="2040"/>
      <c r="Y82" s="2040"/>
      <c r="Z82" s="2040"/>
      <c r="AA82" s="2040"/>
      <c r="AB82" s="2040"/>
      <c r="AC82" s="2040"/>
      <c r="AD82" s="2040"/>
      <c r="AE82" s="2040"/>
      <c r="AF82" s="2564"/>
      <c r="AG82" s="2560"/>
      <c r="AH82" s="2560"/>
      <c r="AI82" s="2564"/>
      <c r="AJ82" s="2560"/>
      <c r="AK82" s="2560"/>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62"/>
      <c r="G83" s="2541"/>
      <c r="H83" s="2566"/>
      <c r="I83" s="2567"/>
      <c r="J83" s="2568"/>
      <c r="K83" s="2568"/>
      <c r="L83" s="2560"/>
      <c r="M83" s="2294"/>
      <c r="N83" s="2569"/>
      <c r="O83" s="2570"/>
      <c r="P83" s="2614"/>
      <c r="Q83" s="2565"/>
      <c r="R83" s="2565"/>
      <c r="S83" s="2565"/>
      <c r="T83" s="2565"/>
      <c r="U83" s="2565"/>
      <c r="V83" s="2565"/>
      <c r="W83" s="2565"/>
      <c r="X83" s="2565"/>
      <c r="Y83" s="2565"/>
      <c r="Z83" s="2041"/>
      <c r="AA83" s="2042"/>
      <c r="AB83" s="2042"/>
      <c r="AC83" s="2043"/>
      <c r="AD83" s="2043"/>
      <c r="AE83" s="2044"/>
      <c r="AF83" s="2564"/>
      <c r="AG83" s="2560"/>
      <c r="AH83" s="2560"/>
      <c r="AI83" s="2564"/>
      <c r="AJ83" s="2560"/>
      <c r="AK83" s="2560"/>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62"/>
      <c r="G84" s="2541"/>
      <c r="H84" s="2566"/>
      <c r="I84" s="2567"/>
      <c r="J84" s="2568"/>
      <c r="K84" s="2568"/>
      <c r="L84" s="2560"/>
      <c r="M84" s="2294"/>
      <c r="N84" s="2569"/>
      <c r="O84" s="2570"/>
      <c r="P84" s="2615"/>
      <c r="Q84" s="2565"/>
      <c r="R84" s="2565"/>
      <c r="S84" s="2565"/>
      <c r="T84" s="2565"/>
      <c r="U84" s="2565"/>
      <c r="V84" s="2565"/>
      <c r="W84" s="2565"/>
      <c r="X84" s="2565"/>
      <c r="Y84" s="2565"/>
      <c r="Z84" s="2045"/>
      <c r="AA84" s="2046"/>
      <c r="AB84" s="2047"/>
      <c r="AC84" s="2048"/>
      <c r="AD84" s="2047"/>
      <c r="AE84" s="2048"/>
      <c r="AF84" s="2564"/>
      <c r="AG84" s="2560"/>
      <c r="AH84" s="2560"/>
      <c r="AI84" s="2564"/>
      <c r="AJ84" s="2560"/>
      <c r="AK84" s="2560"/>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62"/>
      <c r="G85" s="2541"/>
      <c r="H85" s="2566"/>
      <c r="I85" s="2567"/>
      <c r="J85" s="2568"/>
      <c r="K85" s="2568"/>
      <c r="L85" s="2560"/>
      <c r="M85" s="2294"/>
      <c r="N85" s="2569"/>
      <c r="O85" s="2570"/>
      <c r="P85" s="2616"/>
      <c r="Q85" s="2565"/>
      <c r="R85" s="2565"/>
      <c r="S85" s="2565"/>
      <c r="T85" s="2565"/>
      <c r="U85" s="2565"/>
      <c r="V85" s="2565"/>
      <c r="W85" s="2565"/>
      <c r="X85" s="2565"/>
      <c r="Y85" s="2565"/>
      <c r="Z85" s="2041"/>
      <c r="AA85" s="2042"/>
      <c r="AB85" s="2049"/>
      <c r="AC85" s="2043"/>
      <c r="AD85" s="2043"/>
      <c r="AE85" s="2050"/>
      <c r="AF85" s="2564"/>
      <c r="AG85" s="2560"/>
      <c r="AH85" s="2560"/>
      <c r="AI85" s="2564"/>
      <c r="AJ85" s="2560"/>
      <c r="AK85" s="2560"/>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62"/>
      <c r="G86" s="2541"/>
      <c r="H86" s="2566"/>
      <c r="I86" s="2567"/>
      <c r="J86" s="2568"/>
      <c r="K86" s="2568"/>
      <c r="L86" s="2560"/>
      <c r="M86" s="2294"/>
      <c r="N86" s="2042"/>
      <c r="O86" s="2042"/>
      <c r="P86" s="2049"/>
      <c r="Q86" s="2042"/>
      <c r="R86" s="2042"/>
      <c r="S86" s="2042"/>
      <c r="T86" s="2042"/>
      <c r="U86" s="2042"/>
      <c r="V86" s="2042"/>
      <c r="W86" s="2042"/>
      <c r="X86" s="2042"/>
      <c r="Y86" s="2042"/>
      <c r="Z86" s="2042"/>
      <c r="AA86" s="2042"/>
      <c r="AB86" s="2042"/>
      <c r="AC86" s="2042"/>
      <c r="AD86" s="2042"/>
      <c r="AE86" s="2051"/>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63"/>
      <c r="G87" s="1197"/>
      <c r="H87" s="1197"/>
      <c r="I87" s="2561" t="s">
        <v>1057</v>
      </c>
      <c r="J87" s="2561"/>
      <c r="K87" s="2561"/>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1974</v>
      </c>
    </row>
    <row r="91" s="1642" customFormat="1" customHeight="1" ht="11.25">
      <c r="A91" s="1173"/>
      <c r="B91" s="1173"/>
      <c r="C91" s="1173"/>
      <c r="D91" s="1167"/>
      <c r="E91" s="1177"/>
      <c r="F91" s="1835"/>
      <c r="G91" s="1836"/>
      <c r="H91" s="1836"/>
      <c r="I91" s="1770"/>
      <c r="J91" s="1770"/>
      <c r="K91" s="1837"/>
      <c r="L91" s="1770"/>
      <c r="M91" s="1836"/>
      <c r="N91" s="2534"/>
      <c r="O91" s="2617">
        <v>1</v>
      </c>
      <c r="P91" s="2536" t="s">
        <v>19</v>
      </c>
      <c r="Q91" s="2539" t="s">
        <v>22</v>
      </c>
      <c r="R91" s="2539" t="s">
        <v>22</v>
      </c>
      <c r="S91" s="2539" t="s">
        <v>22</v>
      </c>
      <c r="T91" s="2539" t="s">
        <v>22</v>
      </c>
      <c r="U91" s="2539" t="s">
        <v>22</v>
      </c>
      <c r="V91" s="2539" t="s">
        <v>22</v>
      </c>
      <c r="W91" s="2539" t="s">
        <v>22</v>
      </c>
      <c r="X91" s="2539" t="s">
        <v>22</v>
      </c>
      <c r="Y91" s="2539"/>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34"/>
      <c r="O92" s="2617"/>
      <c r="P92" s="2537"/>
      <c r="Q92" s="2539"/>
      <c r="R92" s="2539"/>
      <c r="S92" s="2540"/>
      <c r="T92" s="2539"/>
      <c r="U92" s="2539"/>
      <c r="V92" s="2539"/>
      <c r="W92" s="2539"/>
      <c r="X92" s="2539"/>
      <c r="Y92" s="2539"/>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34"/>
      <c r="O93" s="2617"/>
      <c r="P93" s="2538"/>
      <c r="Q93" s="2539"/>
      <c r="R93" s="2539"/>
      <c r="S93" s="2540"/>
      <c r="T93" s="2539"/>
      <c r="U93" s="2539"/>
      <c r="V93" s="2539"/>
      <c r="W93" s="2539"/>
      <c r="X93" s="2539"/>
      <c r="Y93" s="2539"/>
      <c r="Z93" s="1182"/>
      <c r="AA93" s="1183"/>
      <c r="AB93" s="1248" t="s">
        <v>1055</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1975</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1976</v>
      </c>
    </row>
    <row r="101" s="1642" customFormat="1" customHeight="1" ht="11.25">
      <c r="A101" s="1173"/>
      <c r="B101" s="1173"/>
      <c r="C101" s="1173"/>
      <c r="D101" s="1167"/>
      <c r="E101" s="1177"/>
      <c r="F101" s="1835"/>
      <c r="G101" s="1836"/>
      <c r="H101" s="2541" t="s">
        <v>109</v>
      </c>
      <c r="I101" s="2542"/>
      <c r="J101" s="2511"/>
      <c r="K101" s="2543"/>
      <c r="L101" s="2133" t="s">
        <v>19</v>
      </c>
      <c r="M101" s="2134"/>
      <c r="N101" s="1990"/>
      <c r="O101" s="1184" t="s">
        <v>375</v>
      </c>
      <c r="P101" s="1185"/>
      <c r="Q101" s="1185"/>
      <c r="R101" s="1185"/>
      <c r="S101" s="1185"/>
      <c r="T101" s="1185"/>
      <c r="U101" s="1185"/>
      <c r="V101" s="1185"/>
      <c r="W101" s="1185"/>
      <c r="X101" s="1185"/>
      <c r="Y101" s="1185"/>
      <c r="Z101" s="1185"/>
      <c r="AA101" s="1185"/>
      <c r="AB101" s="1185"/>
      <c r="AC101" s="1185"/>
      <c r="AD101" s="1185"/>
      <c r="AE101" s="1185"/>
      <c r="AF101" s="2532"/>
      <c r="AG101" s="2533"/>
      <c r="AH101" s="2533"/>
      <c r="AI101" s="2532"/>
      <c r="AJ101" s="2533"/>
      <c r="AK101" s="2533"/>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41"/>
      <c r="I102" s="2542"/>
      <c r="J102" s="2511"/>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41"/>
      <c r="I103" s="2542"/>
      <c r="J103" s="2511"/>
      <c r="K103" s="2543"/>
      <c r="L103" s="2133"/>
      <c r="M103" s="2134"/>
      <c r="N103" s="2534"/>
      <c r="O103" s="2535"/>
      <c r="P103" s="2537"/>
      <c r="Q103" s="2539"/>
      <c r="R103" s="2539"/>
      <c r="S103" s="2540"/>
      <c r="T103" s="2539"/>
      <c r="U103" s="2539"/>
      <c r="V103" s="2539"/>
      <c r="W103" s="2539"/>
      <c r="X103" s="2539"/>
      <c r="Y103" s="2539"/>
      <c r="Z103" s="1834"/>
      <c r="AA103" s="1800">
        <v>1</v>
      </c>
      <c r="AB103" s="1186"/>
      <c r="AC103" s="1176"/>
      <c r="AD103" s="1186">
        <f>AB103</f>
        <v>0</v>
      </c>
      <c r="AE103" s="1176"/>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41"/>
      <c r="I104" s="2542"/>
      <c r="J104" s="2511"/>
      <c r="K104" s="2543"/>
      <c r="L104" s="2133"/>
      <c r="M104" s="2134"/>
      <c r="N104" s="2534"/>
      <c r="O104" s="2535"/>
      <c r="P104" s="2538"/>
      <c r="Q104" s="2539"/>
      <c r="R104" s="2539"/>
      <c r="S104" s="2540"/>
      <c r="T104" s="2539"/>
      <c r="U104" s="2539"/>
      <c r="V104" s="2539"/>
      <c r="W104" s="2539"/>
      <c r="X104" s="2539"/>
      <c r="Y104" s="2539"/>
      <c r="Z104" s="1182"/>
      <c r="AA104" s="1183"/>
      <c r="AB104" s="1248" t="s">
        <v>1055</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41"/>
      <c r="I105" s="2542"/>
      <c r="J105" s="2511"/>
      <c r="K105" s="2543"/>
      <c r="L105" s="2133"/>
      <c r="M105" s="2134"/>
      <c r="N105" s="1182"/>
      <c r="O105" s="1183"/>
      <c r="P105" s="1175" t="s">
        <v>1056</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1977</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1162</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1978</v>
      </c>
    </row>
    <row r="115" s="1854" customFormat="1" customHeight="1" ht="15">
      <c r="A115" s="630"/>
      <c r="B115" s="631"/>
      <c r="C115" s="631"/>
      <c r="D115" s="2604" t="s">
        <v>109</v>
      </c>
      <c r="E115" s="2403" t="s">
        <v>105</v>
      </c>
      <c r="F115" s="2404"/>
      <c r="G115" s="2405"/>
      <c r="H115" s="2409" t="str">
        <f>IF(A115="","",INDEX(DIFFERENTIATION_UNMERGE_VD,MATCH(A115,DIFFERENTIATION_ID_DIFF,0)))</f>
        <v/>
      </c>
      <c r="I115" s="2409"/>
      <c r="J115" s="2409"/>
      <c r="K115" s="2409"/>
      <c r="L115" s="2409"/>
      <c r="M115" s="2409"/>
      <c r="N115" s="2409"/>
      <c r="O115" s="2409"/>
      <c r="P115" s="2409"/>
      <c r="Q115" s="2409"/>
      <c r="R115" s="2409"/>
      <c r="S115" s="726"/>
      <c r="T115" s="723"/>
      <c r="U115" s="632"/>
      <c r="V115" s="632"/>
      <c r="W115" s="633"/>
      <c r="X115" s="633"/>
      <c r="Y115" s="633"/>
      <c r="Z115" s="633"/>
      <c r="AA115" s="634"/>
      <c r="AB115" s="635"/>
      <c r="AC115" s="2401"/>
      <c r="AD115" s="636"/>
      <c r="AE115" s="637" t="s">
        <v>22</v>
      </c>
      <c r="AF115" s="637"/>
      <c r="AG115" s="638" t="s">
        <v>619</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605"/>
      <c r="E116" s="2403" t="s">
        <v>561</v>
      </c>
      <c r="F116" s="2404"/>
      <c r="G116" s="2405"/>
      <c r="H116" s="2409" t="str">
        <f>IF(A115="","",INDEX(DIFFERENTIATION_UNMERGE_AREA,MATCH(A115,DIFFERENTIATION_ID_DIFF,0)))</f>
        <v/>
      </c>
      <c r="I116" s="2409"/>
      <c r="J116" s="2409"/>
      <c r="K116" s="2409"/>
      <c r="L116" s="2409"/>
      <c r="M116" s="2409"/>
      <c r="N116" s="2409"/>
      <c r="O116" s="2409"/>
      <c r="P116" s="2409"/>
      <c r="Q116" s="2409"/>
      <c r="R116" s="2409"/>
      <c r="S116" s="726"/>
      <c r="T116" s="723"/>
      <c r="U116" s="632"/>
      <c r="V116" s="632"/>
      <c r="W116" s="633"/>
      <c r="X116" s="633"/>
      <c r="Y116" s="633"/>
      <c r="Z116" s="633"/>
      <c r="AA116" s="634"/>
      <c r="AB116" s="635"/>
      <c r="AC116" s="2401"/>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605"/>
      <c r="E117" s="2403" t="s">
        <v>562</v>
      </c>
      <c r="F117" s="2404"/>
      <c r="G117" s="2405"/>
      <c r="H117" s="2409" t="str">
        <f>IF(A115="","",INDEX(DIFFERENTIATION_UNMERGE_SYSTEM,MATCH(A115,DIFFERENTIATION_ID_DIFF,0)))</f>
        <v/>
      </c>
      <c r="I117" s="2409"/>
      <c r="J117" s="2409"/>
      <c r="K117" s="2409"/>
      <c r="L117" s="2409"/>
      <c r="M117" s="2409"/>
      <c r="N117" s="2409"/>
      <c r="O117" s="2409"/>
      <c r="P117" s="2409"/>
      <c r="Q117" s="2409"/>
      <c r="R117" s="2409"/>
      <c r="S117" s="726"/>
      <c r="T117" s="723"/>
      <c r="U117" s="632"/>
      <c r="V117" s="632"/>
      <c r="W117" s="633"/>
      <c r="X117" s="633"/>
      <c r="Y117" s="633"/>
      <c r="Z117" s="633"/>
      <c r="AA117" s="634"/>
      <c r="AB117" s="635"/>
      <c r="AC117" s="2401"/>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605"/>
      <c r="E118" s="2402" t="s">
        <v>620</v>
      </c>
      <c r="F118" s="2402"/>
      <c r="G118" s="2402"/>
      <c r="H118" s="2402"/>
      <c r="I118" s="2402"/>
      <c r="J118" s="2402"/>
      <c r="K118" s="2402"/>
      <c r="L118" s="2402"/>
      <c r="M118" s="2402"/>
      <c r="N118" s="2402"/>
      <c r="O118" s="2402"/>
      <c r="P118" s="2402"/>
      <c r="Q118" s="565">
        <f>SUMIF(T119:T120,"i",Q119:Q120)</f>
        <v>0</v>
      </c>
      <c r="R118" s="1024"/>
      <c r="S118" s="1804" t="s">
        <v>621</v>
      </c>
      <c r="T118" s="724" t="s">
        <v>622</v>
      </c>
      <c r="U118" s="2400">
        <v>1</v>
      </c>
      <c r="V118" s="2400">
        <f>INDEX(B_FHD_FLAG_INDEX_1,1,MATCH(A115,B_FHD_FLAG_DIFFERENTIATION,0))</f>
      </c>
      <c r="W118" s="1167"/>
      <c r="X118" s="1167"/>
      <c r="Y118" s="1167"/>
      <c r="Z118" s="1167"/>
      <c r="AA118" s="1643"/>
      <c r="AB118" s="1167"/>
      <c r="AC118" s="2401"/>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605"/>
      <c r="E119" s="642"/>
      <c r="F119" s="642">
        <v>0</v>
      </c>
      <c r="G119" s="642"/>
      <c r="H119" s="642"/>
      <c r="I119" s="642"/>
      <c r="J119" s="642"/>
      <c r="K119" s="642"/>
      <c r="L119" s="642"/>
      <c r="M119" s="642"/>
      <c r="N119" s="642"/>
      <c r="O119" s="642"/>
      <c r="P119" s="642"/>
      <c r="Q119" s="642"/>
      <c r="R119" s="642"/>
      <c r="S119" s="643"/>
      <c r="T119" s="725"/>
      <c r="U119" s="2400"/>
      <c r="V119" s="2400"/>
      <c r="W119" s="1643"/>
      <c r="X119" s="1643"/>
      <c r="Y119" s="1643"/>
      <c r="Z119" s="1643"/>
      <c r="AA119" s="1643"/>
      <c r="AB119" s="1167"/>
      <c r="AC119" s="2401"/>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605"/>
      <c r="E120" s="656" t="s">
        <v>22</v>
      </c>
      <c r="F120" s="1175" t="s">
        <v>22</v>
      </c>
      <c r="G120" s="1175" t="s">
        <v>1979</v>
      </c>
      <c r="H120" s="658" t="s">
        <v>22</v>
      </c>
      <c r="I120" s="658"/>
      <c r="J120" s="658"/>
      <c r="K120" s="658"/>
      <c r="L120" s="658"/>
      <c r="M120" s="658"/>
      <c r="N120" s="658"/>
      <c r="O120" s="658"/>
      <c r="P120" s="658"/>
      <c r="Q120" s="658"/>
      <c r="R120" s="659"/>
      <c r="S120" s="660"/>
      <c r="T120" s="725"/>
      <c r="U120" s="2400"/>
      <c r="V120" s="2400"/>
      <c r="W120" s="1167"/>
      <c r="X120" s="1167"/>
      <c r="Y120" s="1167"/>
      <c r="Z120" s="1167"/>
      <c r="AA120" s="1643"/>
      <c r="AB120" s="1167"/>
      <c r="AC120" s="2401"/>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605"/>
      <c r="E121" s="2402" t="s">
        <v>623</v>
      </c>
      <c r="F121" s="2402"/>
      <c r="G121" s="2402"/>
      <c r="H121" s="2402"/>
      <c r="I121" s="2402"/>
      <c r="J121" s="2402"/>
      <c r="K121" s="2402"/>
      <c r="L121" s="2402"/>
      <c r="M121" s="2402"/>
      <c r="N121" s="2402"/>
      <c r="O121" s="2402"/>
      <c r="P121" s="2402"/>
      <c r="Q121" s="565">
        <f>SUMIF(T122:T123,"i",Q122:Q123)</f>
        <v>0</v>
      </c>
      <c r="R121" s="1024"/>
      <c r="S121" s="1804" t="s">
        <v>624</v>
      </c>
      <c r="T121" s="724" t="s">
        <v>622</v>
      </c>
      <c r="U121" s="2400">
        <v>1</v>
      </c>
      <c r="V121" s="2400">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605"/>
      <c r="E122" s="642"/>
      <c r="F122" s="642">
        <v>0</v>
      </c>
      <c r="G122" s="642"/>
      <c r="H122" s="642"/>
      <c r="I122" s="642"/>
      <c r="J122" s="642"/>
      <c r="K122" s="642"/>
      <c r="L122" s="642"/>
      <c r="M122" s="642"/>
      <c r="N122" s="642"/>
      <c r="O122" s="642"/>
      <c r="P122" s="642"/>
      <c r="Q122" s="642"/>
      <c r="R122" s="642"/>
      <c r="S122" s="643"/>
      <c r="T122" s="725"/>
      <c r="U122" s="2400"/>
      <c r="V122" s="2400"/>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6"/>
      <c r="E123" s="656" t="s">
        <v>22</v>
      </c>
      <c r="F123" s="1175" t="s">
        <v>22</v>
      </c>
      <c r="G123" s="1175" t="s">
        <v>1979</v>
      </c>
      <c r="H123" s="658" t="s">
        <v>22</v>
      </c>
      <c r="I123" s="658"/>
      <c r="J123" s="658"/>
      <c r="K123" s="658"/>
      <c r="L123" s="658"/>
      <c r="M123" s="658"/>
      <c r="N123" s="658"/>
      <c r="O123" s="658"/>
      <c r="P123" s="658"/>
      <c r="Q123" s="658"/>
      <c r="R123" s="659"/>
      <c r="S123" s="660"/>
      <c r="T123" s="725"/>
      <c r="U123" s="2400"/>
      <c r="V123" s="2400"/>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1980</v>
      </c>
    </row>
    <row r="127" s="1854" customFormat="1" customHeight="1" ht="15">
      <c r="A127" s="630"/>
      <c r="B127" s="631"/>
      <c r="C127" s="631"/>
      <c r="D127" s="2604" t="s">
        <v>109</v>
      </c>
      <c r="E127" s="2403" t="s">
        <v>105</v>
      </c>
      <c r="F127" s="2404"/>
      <c r="G127" s="2405"/>
      <c r="H127" s="2409" t="str">
        <f>IF(A127="","",INDEX(DIFFERENTIATION_UNMERGE_VD,MATCH(A127,DIFFERENTIATION_ID_DIFF,0)))</f>
        <v/>
      </c>
      <c r="I127" s="2409"/>
      <c r="J127" s="2409"/>
      <c r="K127" s="2409"/>
      <c r="L127" s="2409"/>
      <c r="M127" s="2409"/>
      <c r="N127" s="2409"/>
      <c r="O127" s="2409"/>
      <c r="P127" s="2409"/>
      <c r="Q127" s="2409"/>
      <c r="R127" s="2409"/>
      <c r="S127" s="726"/>
      <c r="T127" s="723"/>
      <c r="U127" s="632"/>
      <c r="V127" s="632"/>
      <c r="W127" s="633"/>
      <c r="X127" s="633"/>
      <c r="Y127" s="633"/>
      <c r="Z127" s="633"/>
      <c r="AA127" s="634"/>
      <c r="AB127" s="635"/>
      <c r="AC127" s="2401"/>
      <c r="AD127" s="636"/>
      <c r="AE127" s="637" t="s">
        <v>22</v>
      </c>
      <c r="AF127" s="637"/>
      <c r="AG127" s="638" t="s">
        <v>619</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c r="A128" s="630"/>
      <c r="B128" s="631"/>
      <c r="C128" s="631"/>
      <c r="D128" s="2605"/>
      <c r="E128" s="2403" t="s">
        <v>561</v>
      </c>
      <c r="F128" s="2404"/>
      <c r="G128" s="2405"/>
      <c r="H128" s="2409" t="str">
        <f>IF(A127="","",INDEX(DIFFERENTIATION_UNMERGE_AREA,MATCH(A127,DIFFERENTIATION_ID_DIFF,0)))</f>
        <v/>
      </c>
      <c r="I128" s="2409"/>
      <c r="J128" s="2409"/>
      <c r="K128" s="2409"/>
      <c r="L128" s="2409"/>
      <c r="M128" s="2409"/>
      <c r="N128" s="2409"/>
      <c r="O128" s="2409"/>
      <c r="P128" s="2409"/>
      <c r="Q128" s="2409"/>
      <c r="R128" s="2409"/>
      <c r="S128" s="726"/>
      <c r="T128" s="723"/>
      <c r="U128" s="632"/>
      <c r="V128" s="632"/>
      <c r="W128" s="633"/>
      <c r="X128" s="633"/>
      <c r="Y128" s="633"/>
      <c r="Z128" s="633"/>
      <c r="AA128" s="634"/>
      <c r="AB128" s="635"/>
      <c r="AC128" s="2401"/>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c r="A129" s="630"/>
      <c r="B129" s="631"/>
      <c r="C129" s="631"/>
      <c r="D129" s="2605"/>
      <c r="E129" s="2403" t="s">
        <v>562</v>
      </c>
      <c r="F129" s="2404"/>
      <c r="G129" s="2405"/>
      <c r="H129" s="2409" t="str">
        <f>IF(A127="","",INDEX(DIFFERENTIATION_UNMERGE_SYSTEM,MATCH(A127,DIFFERENTIATION_ID_DIFF,0)))</f>
        <v/>
      </c>
      <c r="I129" s="2409"/>
      <c r="J129" s="2409"/>
      <c r="K129" s="2409"/>
      <c r="L129" s="2409"/>
      <c r="M129" s="2409"/>
      <c r="N129" s="2409"/>
      <c r="O129" s="2409"/>
      <c r="P129" s="2409"/>
      <c r="Q129" s="2409"/>
      <c r="R129" s="2409"/>
      <c r="S129" s="726"/>
      <c r="T129" s="723"/>
      <c r="U129" s="632"/>
      <c r="V129" s="632"/>
      <c r="W129" s="633"/>
      <c r="X129" s="633"/>
      <c r="Y129" s="633"/>
      <c r="Z129" s="633"/>
      <c r="AA129" s="634"/>
      <c r="AB129" s="635"/>
      <c r="AC129" s="2401"/>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c r="A130" s="1812"/>
      <c r="B130" s="1167"/>
      <c r="C130" s="419"/>
      <c r="D130" s="2605"/>
      <c r="E130" s="2402" t="s">
        <v>620</v>
      </c>
      <c r="F130" s="2402"/>
      <c r="G130" s="2402"/>
      <c r="H130" s="2402"/>
      <c r="I130" s="2402"/>
      <c r="J130" s="2402"/>
      <c r="K130" s="2402"/>
      <c r="L130" s="2402"/>
      <c r="M130" s="2402"/>
      <c r="N130" s="2402"/>
      <c r="O130" s="2402"/>
      <c r="P130" s="2402"/>
      <c r="Q130" s="565">
        <f>SUMIF(T131:T132,"i",Q131:Q132)</f>
        <v>0</v>
      </c>
      <c r="R130" s="1024"/>
      <c r="S130" s="1804" t="s">
        <v>621</v>
      </c>
      <c r="T130" s="724" t="s">
        <v>622</v>
      </c>
      <c r="U130" s="2400">
        <v>1</v>
      </c>
      <c r="V130" s="2400">
        <f>INDEX(B_FHD_FLAG_INDEX_1,1,MATCH(A127,B_FHD_FLAG_DIFFERENTIATION,0))</f>
      </c>
      <c r="W130" s="1167"/>
      <c r="X130" s="1167"/>
      <c r="Y130" s="1167"/>
      <c r="Z130" s="1167"/>
      <c r="AA130" s="1643"/>
      <c r="AB130" s="1167"/>
      <c r="AC130" s="2401"/>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605"/>
      <c r="E131" s="642"/>
      <c r="F131" s="642">
        <v>0</v>
      </c>
      <c r="G131" s="642"/>
      <c r="H131" s="642"/>
      <c r="I131" s="642"/>
      <c r="J131" s="642"/>
      <c r="K131" s="642"/>
      <c r="L131" s="642"/>
      <c r="M131" s="642"/>
      <c r="N131" s="642"/>
      <c r="O131" s="642"/>
      <c r="P131" s="642"/>
      <c r="Q131" s="642"/>
      <c r="R131" s="642"/>
      <c r="S131" s="643"/>
      <c r="T131" s="725"/>
      <c r="U131" s="2400"/>
      <c r="V131" s="2400"/>
      <c r="W131" s="1643"/>
      <c r="X131" s="1643"/>
      <c r="Y131" s="1643"/>
      <c r="Z131" s="1643"/>
      <c r="AA131" s="1643"/>
      <c r="AB131" s="1167"/>
      <c r="AC131" s="2401"/>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c r="A132" s="1812"/>
      <c r="B132" s="1167"/>
      <c r="C132" s="419"/>
      <c r="D132" s="2605"/>
      <c r="E132" s="656" t="s">
        <v>22</v>
      </c>
      <c r="F132" s="1175" t="s">
        <v>22</v>
      </c>
      <c r="G132" s="1175" t="s">
        <v>1979</v>
      </c>
      <c r="H132" s="658" t="s">
        <v>22</v>
      </c>
      <c r="I132" s="658"/>
      <c r="J132" s="658"/>
      <c r="K132" s="658"/>
      <c r="L132" s="658"/>
      <c r="M132" s="658"/>
      <c r="N132" s="658"/>
      <c r="O132" s="658"/>
      <c r="P132" s="658"/>
      <c r="Q132" s="658"/>
      <c r="R132" s="659"/>
      <c r="S132" s="660"/>
      <c r="T132" s="725"/>
      <c r="U132" s="2400"/>
      <c r="V132" s="2400"/>
      <c r="W132" s="1167"/>
      <c r="X132" s="1167"/>
      <c r="Y132" s="1167"/>
      <c r="Z132" s="1167"/>
      <c r="AA132" s="1643"/>
      <c r="AB132" s="1167"/>
      <c r="AC132" s="2401"/>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605"/>
      <c r="E133" s="1046"/>
      <c r="F133" s="1046"/>
      <c r="G133" s="1046"/>
      <c r="H133" s="1046"/>
      <c r="I133" s="1046"/>
      <c r="J133" s="1046"/>
      <c r="K133" s="1046"/>
      <c r="L133" s="1046"/>
      <c r="M133" s="1046"/>
      <c r="N133" s="1046"/>
      <c r="O133" s="1046"/>
      <c r="P133" s="1046"/>
      <c r="Q133" s="1047"/>
      <c r="R133" s="1048"/>
      <c r="S133" s="1049"/>
      <c r="T133" s="724" t="s">
        <v>622</v>
      </c>
      <c r="U133" s="2400">
        <v>1</v>
      </c>
      <c r="V133" s="2400" t="s">
        <v>572</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605"/>
      <c r="E134" s="642"/>
      <c r="F134" s="642"/>
      <c r="G134" s="642"/>
      <c r="H134" s="642"/>
      <c r="I134" s="642"/>
      <c r="J134" s="642"/>
      <c r="K134" s="642"/>
      <c r="L134" s="642"/>
      <c r="M134" s="642"/>
      <c r="N134" s="642"/>
      <c r="O134" s="642"/>
      <c r="P134" s="642"/>
      <c r="Q134" s="642"/>
      <c r="R134" s="642"/>
      <c r="S134" s="643"/>
      <c r="T134" s="725"/>
      <c r="U134" s="2400"/>
      <c r="V134" s="2400"/>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6"/>
      <c r="E135" s="1050"/>
      <c r="F135" s="1051"/>
      <c r="G135" s="1051"/>
      <c r="H135" s="1052"/>
      <c r="I135" s="1052"/>
      <c r="J135" s="1052"/>
      <c r="K135" s="1052"/>
      <c r="L135" s="1052"/>
      <c r="M135" s="1052"/>
      <c r="N135" s="1052"/>
      <c r="O135" s="1052"/>
      <c r="P135" s="1052"/>
      <c r="Q135" s="1052"/>
      <c r="R135" s="953"/>
      <c r="S135" s="1053"/>
      <c r="T135" s="725"/>
      <c r="U135" s="2400"/>
      <c r="V135" s="2400"/>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1981</v>
      </c>
    </row>
    <row r="139" s="1854" customFormat="1" customHeight="1" ht="45">
      <c r="A139" s="1812"/>
      <c r="B139" s="1167"/>
      <c r="C139" s="419"/>
      <c r="D139" s="96"/>
      <c r="E139" s="2598"/>
      <c r="F139" s="2134" t="s">
        <v>109</v>
      </c>
      <c r="G139" s="2601" t="s">
        <v>22</v>
      </c>
      <c r="H139" s="296"/>
      <c r="I139" s="644" t="s">
        <v>109</v>
      </c>
      <c r="J139" s="1813" t="s">
        <v>1982</v>
      </c>
      <c r="K139" s="645" t="s">
        <v>543</v>
      </c>
      <c r="L139" s="2250" t="s">
        <v>543</v>
      </c>
      <c r="M139" s="2603"/>
      <c r="N139" s="645" t="s">
        <v>543</v>
      </c>
      <c r="O139" s="645" t="s">
        <v>543</v>
      </c>
      <c r="P139" s="645" t="s">
        <v>543</v>
      </c>
      <c r="Q139" s="646">
        <f>SUM(Q140:Q142)</f>
        <v>0</v>
      </c>
      <c r="R139" s="646">
        <f>IF(R136=0,0,(Q136/R136)*100)</f>
        <v>0</v>
      </c>
      <c r="S139" s="2205"/>
      <c r="T139" s="724" t="s">
        <v>622</v>
      </c>
      <c r="U139" s="96"/>
      <c r="V139" s="96"/>
      <c r="AC139" s="96"/>
    </row>
    <row s="1854" customFormat="1" customHeight="1" ht="11.25">
      <c r="A140" s="1812"/>
      <c r="B140" s="1167"/>
      <c r="C140" s="419"/>
      <c r="D140" s="96"/>
      <c r="E140" s="2599"/>
      <c r="F140" s="2134"/>
      <c r="G140" s="2601"/>
      <c r="H140" s="2153"/>
      <c r="I140" s="2541" t="s">
        <v>1069</v>
      </c>
      <c r="J140" s="2595"/>
      <c r="K140" s="2596"/>
      <c r="L140" s="647"/>
      <c r="M140" s="648" t="s">
        <v>109</v>
      </c>
      <c r="N140" s="1801"/>
      <c r="O140" s="649"/>
      <c r="P140" s="650"/>
      <c r="Q140" s="649"/>
      <c r="R140" s="651">
        <v>0</v>
      </c>
      <c r="S140" s="2205"/>
      <c r="T140" s="724"/>
      <c r="U140" s="96"/>
      <c r="V140" s="96"/>
      <c r="AC140" s="96"/>
    </row>
    <row s="1854" customFormat="1" customHeight="1" ht="11.25">
      <c r="A141" s="1812"/>
      <c r="B141" s="1167"/>
      <c r="C141" s="419"/>
      <c r="D141" s="96"/>
      <c r="E141" s="2599"/>
      <c r="F141" s="2134"/>
      <c r="G141" s="2601"/>
      <c r="H141" s="2153"/>
      <c r="I141" s="2541"/>
      <c r="J141" s="2595"/>
      <c r="K141" s="2597"/>
      <c r="L141" s="652"/>
      <c r="M141" s="653"/>
      <c r="N141" s="654" t="s">
        <v>1983</v>
      </c>
      <c r="O141" s="654"/>
      <c r="P141" s="654"/>
      <c r="Q141" s="654"/>
      <c r="R141" s="655"/>
      <c r="S141" s="2205"/>
      <c r="T141" s="724"/>
      <c r="U141" s="96"/>
      <c r="V141" s="96"/>
      <c r="AC141" s="96"/>
    </row>
    <row s="1854" customFormat="1" customHeight="1" ht="11.25">
      <c r="A142" s="1812"/>
      <c r="B142" s="1167"/>
      <c r="C142" s="419"/>
      <c r="D142" s="96"/>
      <c r="E142" s="2600"/>
      <c r="F142" s="2134"/>
      <c r="G142" s="2602"/>
      <c r="H142" s="652" t="s">
        <v>22</v>
      </c>
      <c r="I142" s="653"/>
      <c r="J142" s="654" t="s">
        <v>1984</v>
      </c>
      <c r="K142" s="654"/>
      <c r="L142" s="654"/>
      <c r="M142" s="654"/>
      <c r="N142" s="654"/>
      <c r="O142" s="654"/>
      <c r="P142" s="654"/>
      <c r="Q142" s="654"/>
      <c r="R142" s="655"/>
      <c r="S142" s="2205"/>
      <c r="T142" s="724"/>
      <c r="U142" s="96"/>
      <c r="V142" s="96"/>
      <c r="AC142" s="96"/>
    </row>
    <row r="147" s="1854" customFormat="1" customHeight="1" ht="11.25">
      <c r="A147" s="1812"/>
      <c r="B147" s="1167"/>
      <c r="C147" s="419"/>
      <c r="D147" s="96"/>
      <c r="E147" s="1836"/>
      <c r="F147" s="1836"/>
      <c r="G147" s="1836"/>
      <c r="H147" s="2153"/>
      <c r="I147" s="2541" t="s">
        <v>1069</v>
      </c>
      <c r="J147" s="2595"/>
      <c r="K147" s="2596"/>
      <c r="L147" s="647"/>
      <c r="M147" s="648" t="s">
        <v>109</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53"/>
      <c r="I148" s="2541"/>
      <c r="J148" s="2595"/>
      <c r="K148" s="2597"/>
      <c r="L148" s="652"/>
      <c r="M148" s="653"/>
      <c r="N148" s="654" t="s">
        <v>1983</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109</v>
      </c>
      <c r="N150" s="1801"/>
      <c r="O150" s="649"/>
      <c r="P150" s="650"/>
      <c r="Q150" s="649"/>
      <c r="R150" s="651">
        <v>0</v>
      </c>
      <c r="S150" s="96"/>
      <c r="T150" s="724"/>
      <c r="U150" s="96"/>
      <c r="V150" s="96"/>
      <c r="AC150" s="96"/>
    </row>
    <row r="152" s="1821" customFormat="1" customHeight="1" ht="17.25">
      <c r="A152" s="1821" t="s">
        <v>1985</v>
      </c>
    </row>
    <row customHeight="1" ht="17.25">
      <c r="G153" s="1843"/>
      <c r="H153" s="1843"/>
      <c r="I153" s="1843"/>
      <c r="M153" s="1839"/>
    </row>
    <row s="1857" customFormat="1" customHeight="1" ht="17.25">
      <c r="A154" s="1844"/>
      <c r="C154" s="1846"/>
      <c r="D154" s="2555"/>
      <c r="E154" s="2169"/>
      <c r="F154" s="2171"/>
      <c r="G154" s="2557"/>
      <c r="H154" s="2555"/>
      <c r="I154" s="2555">
        <v>1</v>
      </c>
      <c r="J154" s="2527"/>
      <c r="K154" s="2211" t="s">
        <v>65</v>
      </c>
      <c r="L154" s="2134"/>
      <c r="M154" s="2134" t="s">
        <v>109</v>
      </c>
      <c r="N154" s="2530" t="str">
        <f>IF(Z154="","",INDEX(TERRITORY_MR_LIST,MATCH(Z154,TERRITORY_LIST_ID,0)))</f>
        <v/>
      </c>
      <c r="O154" s="2211" t="s">
        <v>65</v>
      </c>
      <c r="P154" s="2134"/>
      <c r="Q154" s="2134" t="s">
        <v>109</v>
      </c>
      <c r="R154" s="2528" t="s">
        <v>22</v>
      </c>
      <c r="S154" s="2133" t="s">
        <v>65</v>
      </c>
      <c r="T154" s="1817"/>
      <c r="U154" s="1817" t="s">
        <v>109</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55"/>
      <c r="E155" s="2169"/>
      <c r="F155" s="2172"/>
      <c r="G155" s="2557"/>
      <c r="H155" s="2555"/>
      <c r="I155" s="2555"/>
      <c r="J155" s="2527"/>
      <c r="K155" s="2212"/>
      <c r="L155" s="2134"/>
      <c r="M155" s="2134"/>
      <c r="N155" s="2530"/>
      <c r="O155" s="2212"/>
      <c r="P155" s="2134"/>
      <c r="Q155" s="2134"/>
      <c r="R155" s="2528"/>
      <c r="S155" s="2133"/>
      <c r="T155" s="324"/>
      <c r="U155" s="325"/>
      <c r="V155" s="325" t="s">
        <v>413</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9"/>
      <c r="E156" s="2556"/>
      <c r="F156" s="2172"/>
      <c r="G156" s="2558"/>
      <c r="H156" s="2529"/>
      <c r="I156" s="2529"/>
      <c r="J156" s="2559"/>
      <c r="K156" s="2212"/>
      <c r="L156" s="2529"/>
      <c r="M156" s="2529"/>
      <c r="N156" s="2531"/>
      <c r="O156" s="2138"/>
      <c r="P156" s="324"/>
      <c r="Q156" s="325"/>
      <c r="R156" s="325" t="s">
        <v>414</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9"/>
      <c r="E157" s="2556"/>
      <c r="F157" s="2172"/>
      <c r="G157" s="2558"/>
      <c r="H157" s="2529"/>
      <c r="I157" s="2529"/>
      <c r="J157" s="2559"/>
      <c r="K157" s="2138"/>
      <c r="L157" s="324"/>
      <c r="M157" s="325"/>
      <c r="N157" s="325" t="s">
        <v>415</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9"/>
      <c r="E158" s="2556"/>
      <c r="F158" s="2173"/>
      <c r="G158" s="2558"/>
      <c r="H158" s="324"/>
      <c r="I158" s="325"/>
      <c r="J158" s="325" t="s">
        <v>443</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55"/>
      <c r="I160" s="2555">
        <v>1</v>
      </c>
      <c r="J160" s="2527"/>
      <c r="K160" s="2211" t="s">
        <v>65</v>
      </c>
      <c r="L160" s="2134"/>
      <c r="M160" s="2134" t="s">
        <v>109</v>
      </c>
      <c r="N160" s="2530" t="str">
        <f>IF(Z160="","",INDEX(TERRITORY_MR_LIST,MATCH(Z160,TERRITORY_LIST_ID,0)))</f>
        <v/>
      </c>
      <c r="O160" s="2211" t="s">
        <v>65</v>
      </c>
      <c r="P160" s="2134"/>
      <c r="Q160" s="2134" t="s">
        <v>109</v>
      </c>
      <c r="R160" s="2528" t="s">
        <v>22</v>
      </c>
      <c r="S160" s="2133" t="s">
        <v>65</v>
      </c>
      <c r="T160" s="1817"/>
      <c r="U160" s="1817" t="s">
        <v>109</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55"/>
      <c r="I161" s="2555"/>
      <c r="J161" s="2527"/>
      <c r="K161" s="2212"/>
      <c r="L161" s="2134"/>
      <c r="M161" s="2134"/>
      <c r="N161" s="2530"/>
      <c r="O161" s="2212"/>
      <c r="P161" s="2134"/>
      <c r="Q161" s="2134"/>
      <c r="R161" s="2528"/>
      <c r="S161" s="2133"/>
      <c r="T161" s="324"/>
      <c r="U161" s="325"/>
      <c r="V161" s="325" t="s">
        <v>413</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9"/>
      <c r="I162" s="2529"/>
      <c r="J162" s="2559"/>
      <c r="K162" s="2212"/>
      <c r="L162" s="2529"/>
      <c r="M162" s="2529"/>
      <c r="N162" s="2531"/>
      <c r="O162" s="2138"/>
      <c r="P162" s="324"/>
      <c r="Q162" s="325"/>
      <c r="R162" s="325" t="s">
        <v>414</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9"/>
      <c r="I163" s="2529"/>
      <c r="J163" s="2559"/>
      <c r="K163" s="2138"/>
      <c r="L163" s="324"/>
      <c r="M163" s="325"/>
      <c r="N163" s="325" t="s">
        <v>415</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34"/>
      <c r="M165" s="2134" t="s">
        <v>109</v>
      </c>
      <c r="N165" s="2530" t="str">
        <f>IF(Z165="","",INDEX(TERRITORY_MR_LIST,MATCH(Z165,TERRITORY_LIST_ID,0)))</f>
        <v/>
      </c>
      <c r="O165" s="2211" t="s">
        <v>65</v>
      </c>
      <c r="P165" s="2134"/>
      <c r="Q165" s="2134" t="s">
        <v>109</v>
      </c>
      <c r="R165" s="2528" t="s">
        <v>22</v>
      </c>
      <c r="S165" s="2133" t="s">
        <v>65</v>
      </c>
      <c r="T165" s="1817"/>
      <c r="U165" s="1817" t="s">
        <v>109</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34"/>
      <c r="M166" s="2134"/>
      <c r="N166" s="2530"/>
      <c r="O166" s="2212"/>
      <c r="P166" s="2134"/>
      <c r="Q166" s="2134"/>
      <c r="R166" s="2528"/>
      <c r="S166" s="2133"/>
      <c r="T166" s="324"/>
      <c r="U166" s="325"/>
      <c r="V166" s="325" t="s">
        <v>413</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9"/>
      <c r="M167" s="2529"/>
      <c r="N167" s="2531"/>
      <c r="O167" s="2138"/>
      <c r="P167" s="324"/>
      <c r="Q167" s="325"/>
      <c r="R167" s="325" t="s">
        <v>414</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34"/>
      <c r="Q169" s="2134" t="s">
        <v>109</v>
      </c>
      <c r="R169" s="2528" t="s">
        <v>22</v>
      </c>
      <c r="S169" s="2133" t="s">
        <v>65</v>
      </c>
      <c r="T169" s="1817"/>
      <c r="U169" s="1817" t="s">
        <v>109</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34"/>
      <c r="Q170" s="2134"/>
      <c r="R170" s="2528"/>
      <c r="S170" s="2133"/>
      <c r="T170" s="324"/>
      <c r="U170" s="325"/>
      <c r="V170" s="325" t="s">
        <v>413</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109</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1986</v>
      </c>
    </row>
    <row customHeight="1" ht="17.25">
      <c r="G175" s="1843"/>
      <c r="H175" s="1843"/>
      <c r="I175" s="1843"/>
      <c r="M175" s="1839"/>
    </row>
    <row s="1857" customFormat="1" customHeight="1" ht="17.25">
      <c r="A176" s="1844"/>
      <c r="C176" s="1846"/>
      <c r="D176" s="2555"/>
      <c r="E176" s="2169"/>
      <c r="F176" s="2171"/>
      <c r="G176" s="2557"/>
      <c r="H176" s="2555"/>
      <c r="I176" s="2555">
        <v>1</v>
      </c>
      <c r="J176" s="2527"/>
      <c r="K176" s="2211" t="s">
        <v>65</v>
      </c>
      <c r="L176" s="2134"/>
      <c r="M176" s="2134" t="s">
        <v>109</v>
      </c>
      <c r="N176" s="2530" t="str">
        <f>IF(Z176="","",INDEX(TERRITORY_MR_LIST,MATCH(Z176,TERRITORY_LIST_ID,0)))</f>
        <v/>
      </c>
      <c r="O176" s="2211" t="s">
        <v>65</v>
      </c>
      <c r="P176" s="2134"/>
      <c r="Q176" s="2134" t="s">
        <v>109</v>
      </c>
      <c r="R176" s="2528" t="s">
        <v>22</v>
      </c>
      <c r="S176" s="2432" t="s">
        <v>19</v>
      </c>
      <c r="T176" s="1808"/>
      <c r="U176" s="1808" t="s">
        <v>109</v>
      </c>
      <c r="V176" s="1441"/>
      <c r="W176" s="2527"/>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55"/>
      <c r="E177" s="2169"/>
      <c r="F177" s="2172"/>
      <c r="G177" s="2557"/>
      <c r="H177" s="2555"/>
      <c r="I177" s="2555"/>
      <c r="J177" s="2527"/>
      <c r="K177" s="2212"/>
      <c r="L177" s="2134"/>
      <c r="M177" s="2134"/>
      <c r="N177" s="2530"/>
      <c r="O177" s="2212"/>
      <c r="P177" s="2134"/>
      <c r="Q177" s="2134"/>
      <c r="R177" s="2528"/>
      <c r="S177" s="2432"/>
      <c r="T177" s="1442"/>
      <c r="U177" s="1443"/>
      <c r="V177" s="1443"/>
      <c r="W177" s="2527"/>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9"/>
      <c r="E178" s="2556"/>
      <c r="F178" s="2172"/>
      <c r="G178" s="2558"/>
      <c r="H178" s="2529"/>
      <c r="I178" s="2529"/>
      <c r="J178" s="2559"/>
      <c r="K178" s="2212"/>
      <c r="L178" s="2529"/>
      <c r="M178" s="2529"/>
      <c r="N178" s="2531"/>
      <c r="O178" s="2138"/>
      <c r="P178" s="324"/>
      <c r="Q178" s="325"/>
      <c r="R178" s="325" t="s">
        <v>414</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9"/>
      <c r="E179" s="2556"/>
      <c r="F179" s="2172"/>
      <c r="G179" s="2558"/>
      <c r="H179" s="2529"/>
      <c r="I179" s="2529"/>
      <c r="J179" s="2559"/>
      <c r="K179" s="2138"/>
      <c r="L179" s="324"/>
      <c r="M179" s="325"/>
      <c r="N179" s="325" t="s">
        <v>415</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9"/>
      <c r="E180" s="2556"/>
      <c r="F180" s="2173"/>
      <c r="G180" s="2558"/>
      <c r="H180" s="324"/>
      <c r="I180" s="325"/>
      <c r="J180" s="325" t="s">
        <v>443</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55"/>
      <c r="I182" s="2555">
        <v>1</v>
      </c>
      <c r="J182" s="2527"/>
      <c r="K182" s="2211" t="s">
        <v>65</v>
      </c>
      <c r="L182" s="2134"/>
      <c r="M182" s="2134" t="s">
        <v>109</v>
      </c>
      <c r="N182" s="2530" t="str">
        <f>IF(Z182="","",INDEX(TERRITORY_MR_LIST,MATCH(Z182,TERRITORY_LIST_ID,0)))</f>
        <v/>
      </c>
      <c r="O182" s="2211" t="s">
        <v>65</v>
      </c>
      <c r="P182" s="2134"/>
      <c r="Q182" s="2134" t="s">
        <v>109</v>
      </c>
      <c r="R182" s="2528" t="s">
        <v>22</v>
      </c>
      <c r="S182" s="2432" t="s">
        <v>19</v>
      </c>
      <c r="T182" s="1808"/>
      <c r="U182" s="1808" t="s">
        <v>109</v>
      </c>
      <c r="V182" s="1441"/>
      <c r="W182" s="2527"/>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55"/>
      <c r="I183" s="2555"/>
      <c r="J183" s="2527"/>
      <c r="K183" s="2212"/>
      <c r="L183" s="2134"/>
      <c r="M183" s="2134"/>
      <c r="N183" s="2530"/>
      <c r="O183" s="2212"/>
      <c r="P183" s="2134"/>
      <c r="Q183" s="2134"/>
      <c r="R183" s="2528"/>
      <c r="S183" s="2432"/>
      <c r="T183" s="1442"/>
      <c r="U183" s="1443"/>
      <c r="V183" s="1443"/>
      <c r="W183" s="2527"/>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9"/>
      <c r="I184" s="2529"/>
      <c r="J184" s="2559"/>
      <c r="K184" s="2212"/>
      <c r="L184" s="2529"/>
      <c r="M184" s="2529"/>
      <c r="N184" s="2531"/>
      <c r="O184" s="2138"/>
      <c r="P184" s="324"/>
      <c r="Q184" s="325"/>
      <c r="R184" s="325" t="s">
        <v>414</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9"/>
      <c r="I185" s="2529"/>
      <c r="J185" s="2559"/>
      <c r="K185" s="2138"/>
      <c r="L185" s="324"/>
      <c r="M185" s="325"/>
      <c r="N185" s="325" t="s">
        <v>415</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34"/>
      <c r="M187" s="2134" t="s">
        <v>109</v>
      </c>
      <c r="N187" s="2530" t="str">
        <f>IF(Z187="","",INDEX(TERRITORY_MR_LIST,MATCH(Z187,TERRITORY_LIST_ID,0)))</f>
        <v/>
      </c>
      <c r="O187" s="2211" t="s">
        <v>65</v>
      </c>
      <c r="P187" s="2134"/>
      <c r="Q187" s="2134" t="s">
        <v>109</v>
      </c>
      <c r="R187" s="2528" t="s">
        <v>22</v>
      </c>
      <c r="S187" s="2432" t="s">
        <v>19</v>
      </c>
      <c r="T187" s="1808"/>
      <c r="U187" s="1808" t="s">
        <v>109</v>
      </c>
      <c r="V187" s="1441"/>
      <c r="W187" s="2527"/>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34"/>
      <c r="M188" s="2134"/>
      <c r="N188" s="2530"/>
      <c r="O188" s="2212"/>
      <c r="P188" s="2134"/>
      <c r="Q188" s="2134"/>
      <c r="R188" s="2528"/>
      <c r="S188" s="2432"/>
      <c r="T188" s="1442"/>
      <c r="U188" s="1443"/>
      <c r="V188" s="1443"/>
      <c r="W188" s="2527"/>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9"/>
      <c r="M189" s="2529"/>
      <c r="N189" s="2531"/>
      <c r="O189" s="2138"/>
      <c r="P189" s="324"/>
      <c r="Q189" s="325"/>
      <c r="R189" s="325" t="s">
        <v>414</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34"/>
      <c r="Q191" s="2134" t="s">
        <v>109</v>
      </c>
      <c r="R191" s="2528" t="s">
        <v>22</v>
      </c>
      <c r="S191" s="2432" t="s">
        <v>19</v>
      </c>
      <c r="T191" s="1808"/>
      <c r="U191" s="1808" t="s">
        <v>109</v>
      </c>
      <c r="V191" s="1441"/>
      <c r="W191" s="2527"/>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34"/>
      <c r="Q192" s="2134"/>
      <c r="R192" s="2528"/>
      <c r="S192" s="2432"/>
      <c r="T192" s="1442"/>
      <c r="U192" s="1443"/>
      <c r="V192" s="1443"/>
      <c r="W192" s="2527"/>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9"/>
      <c r="E194" s="2205"/>
      <c r="F194" s="2205"/>
      <c r="G194" s="2153"/>
      <c r="H194" s="2580"/>
      <c r="I194" s="2593"/>
      <c r="J194" s="2178"/>
      <c r="K194" s="2163"/>
      <c r="L194" s="2163"/>
      <c r="M194" s="2163"/>
      <c r="N194" s="2591"/>
      <c r="O194" s="2163"/>
      <c r="P194" s="2163"/>
      <c r="Q194" s="2163"/>
      <c r="R194" s="2589"/>
      <c r="S194" s="2163"/>
      <c r="T194" s="1789"/>
      <c r="U194" s="1789"/>
      <c r="V194" s="1856"/>
      <c r="W194" s="1303"/>
    </row>
    <row customHeight="1" ht="16.5">
      <c r="A195" s="1844"/>
      <c r="B195" s="1845"/>
      <c r="C195" s="1849"/>
      <c r="D195" s="2579"/>
      <c r="E195" s="2205"/>
      <c r="F195" s="2205"/>
      <c r="G195" s="2153"/>
      <c r="H195" s="2581"/>
      <c r="I195" s="2594"/>
      <c r="J195" s="2179"/>
      <c r="K195" s="2164"/>
      <c r="L195" s="2164"/>
      <c r="M195" s="2164"/>
      <c r="N195" s="2592"/>
      <c r="O195" s="2164"/>
      <c r="P195" s="2164"/>
      <c r="Q195" s="2164"/>
      <c r="R195" s="2590"/>
      <c r="S195" s="2164"/>
      <c r="T195" s="1304"/>
      <c r="U195" s="1304"/>
      <c r="V195" s="1304"/>
      <c r="W195" s="1305"/>
    </row>
    <row customHeight="1" ht="17.25">
      <c r="A196" s="1844"/>
      <c r="B196" s="1845"/>
      <c r="C196" s="1849"/>
      <c r="D196" s="2579"/>
      <c r="E196" s="2205"/>
      <c r="F196" s="2205"/>
      <c r="G196" s="2153"/>
      <c r="H196" s="2581"/>
      <c r="I196" s="2594"/>
      <c r="J196" s="2582"/>
      <c r="K196" s="2164"/>
      <c r="L196" s="2164"/>
      <c r="M196" s="2164"/>
      <c r="N196" s="2590"/>
      <c r="O196" s="2164"/>
      <c r="P196" s="1792"/>
      <c r="Q196" s="1304"/>
      <c r="R196" s="1304"/>
      <c r="S196" s="1857"/>
      <c r="T196" s="1857"/>
      <c r="U196" s="1857"/>
      <c r="V196" s="1857"/>
      <c r="W196" s="1305"/>
    </row>
    <row customHeight="1" ht="17.25">
      <c r="A197" s="1844"/>
      <c r="B197" s="1845"/>
      <c r="C197" s="1849"/>
      <c r="D197" s="2579"/>
      <c r="E197" s="2205"/>
      <c r="F197" s="2205"/>
      <c r="G197" s="2153"/>
      <c r="H197" s="2581"/>
      <c r="I197" s="2594"/>
      <c r="J197" s="2582"/>
      <c r="K197" s="2164"/>
      <c r="L197" s="1304"/>
      <c r="M197" s="1304"/>
      <c r="N197" s="1304"/>
      <c r="O197" s="1304"/>
      <c r="P197" s="1304"/>
      <c r="Q197" s="1304"/>
      <c r="R197" s="1304"/>
      <c r="S197" s="1857"/>
      <c r="T197" s="1857"/>
      <c r="U197" s="1857"/>
      <c r="V197" s="1857"/>
      <c r="W197" s="1305"/>
    </row>
    <row customHeight="1" ht="17.25">
      <c r="A198" s="1844"/>
      <c r="B198" s="1845"/>
      <c r="C198" s="1849"/>
      <c r="D198" s="2579"/>
      <c r="E198" s="2205"/>
      <c r="F198" s="2205"/>
      <c r="G198" s="2153"/>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1987</v>
      </c>
    </row>
    <row customHeight="1" ht="17.25">
      <c r="G201" s="1843"/>
      <c r="H201" s="1843"/>
      <c r="I201" s="1843"/>
      <c r="M201" s="1839"/>
    </row>
    <row s="1854" customFormat="1" customHeight="1" ht="15">
      <c r="D202" s="2549"/>
      <c r="E202" s="2225"/>
      <c r="F202" s="2225"/>
      <c r="G202" s="2211"/>
      <c r="H202" s="1571"/>
      <c r="I202" s="2553">
        <v>1</v>
      </c>
      <c r="J202" s="2527"/>
      <c r="K202" s="1586"/>
      <c r="L202" s="2211" t="s">
        <v>65</v>
      </c>
      <c r="M202" s="2211" t="s">
        <v>65</v>
      </c>
      <c r="N202" s="1571"/>
      <c r="O202" s="2134" t="s">
        <v>109</v>
      </c>
      <c r="P202" s="2543"/>
      <c r="Q202" s="1587"/>
      <c r="R202" s="2211" t="s">
        <v>65</v>
      </c>
      <c r="S202" s="2211" t="s">
        <v>65</v>
      </c>
      <c r="T202" s="1859"/>
      <c r="U202" s="2134" t="s">
        <v>109</v>
      </c>
      <c r="V202" s="2550" t="str">
        <f>IF(AK202="","",INDEX(TERRITORY_MR_LIST,MATCH(AK202,TERRITORY_LIST_ID,0)))</f>
        <v/>
      </c>
      <c r="W202" s="1588"/>
      <c r="X202" s="2211" t="s">
        <v>65</v>
      </c>
      <c r="Y202" s="2211" t="s">
        <v>19</v>
      </c>
      <c r="Z202" s="1571"/>
      <c r="AA202" s="2134" t="s">
        <v>109</v>
      </c>
      <c r="AB202" s="2552"/>
      <c r="AC202" s="1589"/>
      <c r="AD202" s="2211" t="s">
        <v>65</v>
      </c>
      <c r="AE202" s="2211" t="s">
        <v>19</v>
      </c>
      <c r="AF202" s="1569"/>
      <c r="AG202" s="1817" t="s">
        <v>109</v>
      </c>
      <c r="AH202" s="1579"/>
      <c r="AI202" s="1807"/>
    </row>
    <row s="1854" customFormat="1" customHeight="1" ht="15">
      <c r="D203" s="2549"/>
      <c r="E203" s="2225"/>
      <c r="F203" s="2225"/>
      <c r="G203" s="2212"/>
      <c r="H203" s="1571"/>
      <c r="I203" s="2553"/>
      <c r="J203" s="2527"/>
      <c r="K203" s="1570"/>
      <c r="L203" s="2212"/>
      <c r="M203" s="2212"/>
      <c r="N203" s="1571"/>
      <c r="O203" s="2134"/>
      <c r="P203" s="2543"/>
      <c r="Q203" s="1567"/>
      <c r="R203" s="2212"/>
      <c r="S203" s="2212"/>
      <c r="T203" s="1859"/>
      <c r="U203" s="2134"/>
      <c r="V203" s="2551"/>
      <c r="W203" s="1568"/>
      <c r="X203" s="2212"/>
      <c r="Y203" s="2212"/>
      <c r="Z203" s="1571"/>
      <c r="AA203" s="2134"/>
      <c r="AB203" s="2521"/>
      <c r="AC203" s="1572"/>
      <c r="AD203" s="2138"/>
      <c r="AE203" s="2138"/>
      <c r="AF203" s="1573"/>
      <c r="AG203" s="1574"/>
      <c r="AH203" s="2544" t="s">
        <v>1988</v>
      </c>
      <c r="AI203" s="2545"/>
    </row>
    <row s="1854" customFormat="1" customHeight="1" ht="15">
      <c r="D204" s="2549"/>
      <c r="E204" s="2225"/>
      <c r="F204" s="2225"/>
      <c r="G204" s="2212"/>
      <c r="H204" s="1571"/>
      <c r="I204" s="2553"/>
      <c r="J204" s="2527"/>
      <c r="K204" s="1570"/>
      <c r="L204" s="2212"/>
      <c r="M204" s="2212"/>
      <c r="N204" s="1571"/>
      <c r="O204" s="2134"/>
      <c r="P204" s="2543"/>
      <c r="Q204" s="1567"/>
      <c r="R204" s="2212"/>
      <c r="S204" s="2212"/>
      <c r="T204" s="1859"/>
      <c r="U204" s="2134"/>
      <c r="V204" s="2551"/>
      <c r="W204" s="1568"/>
      <c r="X204" s="2212"/>
      <c r="Y204" s="2212"/>
      <c r="Z204" s="1610"/>
      <c r="AA204" s="1576"/>
      <c r="AB204" s="2546" t="s">
        <v>1989</v>
      </c>
      <c r="AC204" s="2546"/>
      <c r="AD204" s="2546"/>
      <c r="AE204" s="2546"/>
      <c r="AF204" s="2546"/>
      <c r="AG204" s="2546"/>
      <c r="AH204" s="2546"/>
      <c r="AI204" s="2547"/>
    </row>
    <row s="1854" customFormat="1" customHeight="1" ht="15">
      <c r="D205" s="2549"/>
      <c r="E205" s="2225"/>
      <c r="F205" s="2225"/>
      <c r="G205" s="2212"/>
      <c r="H205" s="1571"/>
      <c r="I205" s="2553"/>
      <c r="J205" s="2527"/>
      <c r="K205" s="1570"/>
      <c r="L205" s="2212"/>
      <c r="M205" s="2212"/>
      <c r="N205" s="1571"/>
      <c r="O205" s="2134"/>
      <c r="P205" s="2548"/>
      <c r="Q205" s="1567"/>
      <c r="R205" s="2212"/>
      <c r="S205" s="2212"/>
      <c r="T205" s="1860"/>
      <c r="U205" s="1611"/>
      <c r="V205" s="2544" t="s">
        <v>103</v>
      </c>
      <c r="W205" s="2544"/>
      <c r="X205" s="2544"/>
      <c r="Y205" s="2544"/>
      <c r="Z205" s="2544"/>
      <c r="AA205" s="2544"/>
      <c r="AB205" s="2544"/>
      <c r="AC205" s="2544"/>
      <c r="AD205" s="2544"/>
      <c r="AE205" s="2544"/>
      <c r="AF205" s="2544"/>
      <c r="AG205" s="2544"/>
      <c r="AH205" s="2544"/>
      <c r="AI205" s="2545"/>
    </row>
    <row s="1854" customFormat="1" customHeight="1" ht="11.25">
      <c r="D206" s="2549"/>
      <c r="E206" s="2225"/>
      <c r="F206" s="2225"/>
      <c r="G206" s="2212"/>
      <c r="H206" s="1575"/>
      <c r="I206" s="2553"/>
      <c r="J206" s="2554"/>
      <c r="K206" s="1570"/>
      <c r="L206" s="2212"/>
      <c r="M206" s="2212"/>
      <c r="N206" s="1575"/>
      <c r="O206" s="1576"/>
      <c r="P206" s="2544" t="s">
        <v>1990</v>
      </c>
      <c r="Q206" s="2544"/>
      <c r="R206" s="2544"/>
      <c r="S206" s="2544"/>
      <c r="T206" s="2544"/>
      <c r="U206" s="2544"/>
      <c r="V206" s="2544"/>
      <c r="W206" s="2544"/>
      <c r="X206" s="2544"/>
      <c r="Y206" s="2544"/>
      <c r="Z206" s="2544"/>
      <c r="AA206" s="2544"/>
      <c r="AB206" s="2544"/>
      <c r="AC206" s="2544"/>
      <c r="AD206" s="2544"/>
      <c r="AE206" s="2544"/>
      <c r="AF206" s="2544"/>
      <c r="AG206" s="2544"/>
      <c r="AH206" s="2544"/>
      <c r="AI206" s="2545"/>
    </row>
    <row s="1561" customFormat="1" customHeight="1" ht="11.25">
      <c r="D207" s="2549"/>
      <c r="E207" s="2225"/>
      <c r="F207" s="2225"/>
      <c r="G207" s="2138"/>
      <c r="H207" s="1577"/>
      <c r="I207" s="1578"/>
      <c r="J207" s="2544" t="s">
        <v>443</v>
      </c>
      <c r="K207" s="2544"/>
      <c r="L207" s="2544"/>
      <c r="M207" s="2544"/>
      <c r="N207" s="2544"/>
      <c r="O207" s="2544"/>
      <c r="P207" s="2544"/>
      <c r="Q207" s="2544"/>
      <c r="R207" s="2544"/>
      <c r="S207" s="2544"/>
      <c r="T207" s="2544"/>
      <c r="U207" s="2544"/>
      <c r="V207" s="2544"/>
      <c r="W207" s="2544"/>
      <c r="X207" s="2544"/>
      <c r="Y207" s="2544"/>
      <c r="Z207" s="2544"/>
      <c r="AA207" s="2544"/>
      <c r="AB207" s="2544"/>
      <c r="AC207" s="2544"/>
      <c r="AD207" s="2544"/>
      <c r="AE207" s="2544"/>
      <c r="AF207" s="2544"/>
      <c r="AG207" s="2544"/>
      <c r="AH207" s="2544"/>
      <c r="AI207" s="2545"/>
      <c r="BK207" s="1581"/>
    </row>
    <row customHeight="1" ht="17.25">
      <c r="G208" s="1843"/>
      <c r="I208" s="1843"/>
      <c r="J208" s="1843"/>
      <c r="N208" s="1839"/>
    </row>
    <row s="1854" customFormat="1" customHeight="1" ht="15">
      <c r="D209" s="2549"/>
      <c r="E209" s="2225"/>
      <c r="F209" s="2225"/>
      <c r="G209" s="2205"/>
      <c r="H209" s="1606"/>
      <c r="I209" s="2207"/>
      <c r="J209" s="2178"/>
      <c r="K209" s="1791"/>
      <c r="L209" s="2163"/>
      <c r="M209" s="2163"/>
      <c r="N209" s="1591"/>
      <c r="O209" s="2163"/>
      <c r="P209" s="2178"/>
      <c r="Q209" s="1795"/>
      <c r="R209" s="2163"/>
      <c r="S209" s="2163"/>
      <c r="T209" s="1861"/>
      <c r="U209" s="2163"/>
      <c r="V209" s="2178"/>
      <c r="W209" s="1594"/>
      <c r="X209" s="2163"/>
      <c r="Y209" s="2163"/>
      <c r="Z209" s="1591"/>
      <c r="AA209" s="2163"/>
      <c r="AB209" s="2178"/>
      <c r="AC209" s="1595"/>
      <c r="AD209" s="2163"/>
      <c r="AE209" s="2163"/>
      <c r="AF209" s="1789"/>
      <c r="AG209" s="1789"/>
      <c r="AH209" s="1596"/>
      <c r="AI209" s="1303"/>
    </row>
    <row s="1854" customFormat="1" customHeight="1" ht="15">
      <c r="D210" s="2549"/>
      <c r="E210" s="2225"/>
      <c r="F210" s="2225"/>
      <c r="G210" s="2205"/>
      <c r="H210" s="1607"/>
      <c r="I210" s="2208"/>
      <c r="J210" s="2179"/>
      <c r="K210" s="1617"/>
      <c r="L210" s="2164"/>
      <c r="M210" s="2164"/>
      <c r="N210" s="1597"/>
      <c r="O210" s="2164"/>
      <c r="P210" s="2179"/>
      <c r="Q210" s="1796"/>
      <c r="R210" s="2164"/>
      <c r="S210" s="2164"/>
      <c r="T210" s="1862"/>
      <c r="U210" s="2164"/>
      <c r="V210" s="2179"/>
      <c r="W210" s="1600"/>
      <c r="X210" s="2164"/>
      <c r="Y210" s="2164"/>
      <c r="Z210" s="1597"/>
      <c r="AA210" s="2164"/>
      <c r="AB210" s="2179"/>
      <c r="AC210" s="1601"/>
      <c r="AD210" s="2164"/>
      <c r="AE210" s="2164"/>
      <c r="AF210" s="1794"/>
      <c r="AG210" s="1794"/>
      <c r="AH210" s="2203"/>
      <c r="AI210" s="2204"/>
    </row>
    <row s="1854" customFormat="1" customHeight="1" ht="15">
      <c r="D211" s="2549"/>
      <c r="E211" s="2225"/>
      <c r="F211" s="2225"/>
      <c r="G211" s="2205"/>
      <c r="H211" s="1607"/>
      <c r="I211" s="2208"/>
      <c r="J211" s="2179"/>
      <c r="K211" s="1617"/>
      <c r="L211" s="2164"/>
      <c r="M211" s="2164"/>
      <c r="N211" s="1597"/>
      <c r="O211" s="2164"/>
      <c r="P211" s="2179"/>
      <c r="Q211" s="1796"/>
      <c r="R211" s="2164"/>
      <c r="S211" s="2164"/>
      <c r="T211" s="1862"/>
      <c r="U211" s="2164"/>
      <c r="V211" s="2179"/>
      <c r="W211" s="1600"/>
      <c r="X211" s="2164"/>
      <c r="Y211" s="2164"/>
      <c r="Z211" s="1792"/>
      <c r="AA211" s="1794"/>
      <c r="AB211" s="2203"/>
      <c r="AC211" s="2203"/>
      <c r="AD211" s="2203"/>
      <c r="AE211" s="2203"/>
      <c r="AF211" s="2203"/>
      <c r="AG211" s="2203"/>
      <c r="AH211" s="2203"/>
      <c r="AI211" s="2204"/>
    </row>
    <row s="1854" customFormat="1" customHeight="1" ht="15">
      <c r="D212" s="2549"/>
      <c r="E212" s="2225"/>
      <c r="F212" s="2225"/>
      <c r="G212" s="2205"/>
      <c r="H212" s="1607"/>
      <c r="I212" s="2208"/>
      <c r="J212" s="2179"/>
      <c r="K212" s="1617"/>
      <c r="L212" s="2164"/>
      <c r="M212" s="2164"/>
      <c r="N212" s="1597"/>
      <c r="O212" s="2164"/>
      <c r="P212" s="2179"/>
      <c r="Q212" s="1796"/>
      <c r="R212" s="2164"/>
      <c r="S212" s="2164"/>
      <c r="T212" s="1863"/>
      <c r="U212" s="1604"/>
      <c r="V212" s="2203"/>
      <c r="W212" s="2203"/>
      <c r="X212" s="2203"/>
      <c r="Y212" s="2203"/>
      <c r="Z212" s="2203"/>
      <c r="AA212" s="2203"/>
      <c r="AB212" s="2203"/>
      <c r="AC212" s="2203"/>
      <c r="AD212" s="2203"/>
      <c r="AE212" s="2203"/>
      <c r="AF212" s="2203"/>
      <c r="AG212" s="2203"/>
      <c r="AH212" s="2203"/>
      <c r="AI212" s="2204"/>
    </row>
    <row s="1854" customFormat="1" customHeight="1" ht="11.25">
      <c r="D213" s="2549"/>
      <c r="E213" s="2225"/>
      <c r="F213" s="2225"/>
      <c r="G213" s="2205"/>
      <c r="H213" s="1608"/>
      <c r="I213" s="2208"/>
      <c r="J213" s="2179"/>
      <c r="K213" s="1617"/>
      <c r="L213" s="2164"/>
      <c r="M213" s="2164"/>
      <c r="N213" s="1794"/>
      <c r="O213" s="1794"/>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61" customFormat="1" customHeight="1" ht="11.25">
      <c r="D214" s="2549"/>
      <c r="E214" s="2225"/>
      <c r="F214" s="2225"/>
      <c r="G214" s="2210"/>
      <c r="H214" s="1605"/>
      <c r="I214" s="1609"/>
      <c r="J214" s="2213"/>
      <c r="K214" s="2213"/>
      <c r="L214" s="2213"/>
      <c r="M214" s="2213"/>
      <c r="N214" s="2213"/>
      <c r="O214" s="2213"/>
      <c r="P214" s="2213"/>
      <c r="Q214" s="2213"/>
      <c r="R214" s="2213"/>
      <c r="S214" s="2213"/>
      <c r="T214" s="2213"/>
      <c r="U214" s="2213"/>
      <c r="V214" s="2213"/>
      <c r="W214" s="2213"/>
      <c r="X214" s="2213"/>
      <c r="Y214" s="2213"/>
      <c r="Z214" s="2213"/>
      <c r="AA214" s="2213"/>
      <c r="AB214" s="2213"/>
      <c r="AC214" s="2213"/>
      <c r="AD214" s="2213"/>
      <c r="AE214" s="2213"/>
      <c r="AF214" s="2213"/>
      <c r="AG214" s="2213"/>
      <c r="AH214" s="2213"/>
      <c r="AI214" s="2214"/>
      <c r="BK214" s="1581"/>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A058F-47A7-D02F-CC4E-35545688982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1991</v>
      </c>
      <c r="B1" s="853"/>
      <c r="C1" s="989" t="s">
        <v>1992</v>
      </c>
      <c r="D1" s="987" t="s">
        <v>835</v>
      </c>
      <c r="E1" s="987" t="s">
        <v>881</v>
      </c>
      <c r="F1" s="987" t="s">
        <v>934</v>
      </c>
      <c r="G1" s="987" t="s">
        <v>921</v>
      </c>
      <c r="H1" s="987" t="s">
        <v>1671</v>
      </c>
    </row>
    <row customHeight="1" ht="9">
      <c r="A2" s="990" t="s">
        <v>1993</v>
      </c>
      <c r="B2" s="990"/>
      <c r="C2" s="991" t="str">
        <f>INDEX(TEMPLATE_NUMBER_FORM_LIST,MATCH(TEMPLATE_SPHERE,TEMPLATE_SPHERE_LIST,0))</f>
        <v>10</v>
      </c>
      <c r="D2" s="990" t="s">
        <v>1523</v>
      </c>
      <c r="E2" s="990" t="s">
        <v>150</v>
      </c>
      <c r="F2" s="992" t="s">
        <v>150</v>
      </c>
      <c r="G2" s="990" t="s">
        <v>150</v>
      </c>
      <c r="H2" s="993"/>
    </row>
    <row customHeight="1" ht="63">
      <c r="A3" s="853"/>
      <c r="B3" s="853" t="s">
        <v>109</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1994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3"/>
    </row>
    <row customHeight="1" ht="243">
      <c r="A4" s="853" t="s">
        <v>1995</v>
      </c>
      <c r="B4" s="853" t="s">
        <v>110</v>
      </c>
      <c r="C4" s="991" t="str">
        <f>IF(TEMPLATE_SPHERE="HEAT",D4,IF(TEMPLATE_SPHERE="TKO",H4,E4))</f>
        <v>Форма 1. Информация об организации, осуществляющей водоотведение (общая информация)</v>
      </c>
      <c r="D4" s="990" t="s">
        <v>1996</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3" t="s">
        <v>1997</v>
      </c>
    </row>
    <row customHeight="1" ht="117">
      <c r="A5" s="853" t="s">
        <v>1998</v>
      </c>
      <c r="B5" s="853" t="s">
        <v>90</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3" t="s">
        <v>1999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3" t="s">
        <v>2000</v>
      </c>
    </row>
    <row customHeight="1" ht="90">
      <c r="A6" s="853" t="s">
        <v>2001</v>
      </c>
      <c r="B6" s="853" t="s">
        <v>91</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3"/>
      <c r="G6" s="853"/>
      <c r="H6" s="993"/>
    </row>
    <row customHeight="1" ht="45">
      <c r="A7" s="853" t="s">
        <v>2002</v>
      </c>
      <c r="B7" s="853" t="s">
        <v>111</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2003</v>
      </c>
      <c r="E7" s="853" t="s">
        <v>2004</v>
      </c>
      <c r="F7" s="993"/>
      <c r="G7" s="993"/>
      <c r="H7" s="993"/>
    </row>
    <row customHeight="1" ht="108">
      <c r="A8" s="853" t="s">
        <v>2005</v>
      </c>
      <c r="B8" s="853" t="s">
        <v>92</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1206</v>
      </c>
      <c r="E8" s="853" t="s">
        <v>2006</v>
      </c>
      <c r="F8" s="993"/>
      <c r="G8" s="993"/>
      <c r="H8" s="993"/>
    </row>
    <row customHeight="1" ht="99">
      <c r="A9" s="853" t="s">
        <v>2007</v>
      </c>
      <c r="B9" s="853"/>
      <c r="C9" s="853" t="s">
        <v>2008</v>
      </c>
      <c r="D9" s="853"/>
      <c r="E9" s="853"/>
      <c r="F9" s="993"/>
      <c r="G9" s="993"/>
      <c r="H9" s="993"/>
    </row>
    <row customHeight="1" ht="126">
      <c r="A10" s="853" t="s">
        <v>2009</v>
      </c>
      <c r="B10" s="853"/>
      <c r="C10" s="853" t="s">
        <v>2010</v>
      </c>
      <c r="D10" s="853"/>
      <c r="E10" s="853"/>
      <c r="F10" s="993"/>
      <c r="G10" s="993"/>
      <c r="H10" s="993"/>
    </row>
    <row customHeight="1" ht="108">
      <c r="A11" s="853" t="s">
        <v>2011</v>
      </c>
      <c r="B11" s="853"/>
      <c r="C11" s="853" t="s">
        <v>2012</v>
      </c>
      <c r="D11" s="853"/>
      <c r="E11" s="853"/>
      <c r="F11" s="993"/>
      <c r="G11" s="993"/>
      <c r="H11" s="993"/>
    </row>
    <row customHeight="1" ht="54">
      <c r="A12" s="853" t="s">
        <v>2013</v>
      </c>
      <c r="B12" s="853"/>
      <c r="C12" s="853" t="s">
        <v>2014</v>
      </c>
      <c r="D12" s="853"/>
      <c r="E12" s="853"/>
      <c r="F12" s="993"/>
      <c r="G12" s="993"/>
      <c r="H12" s="993"/>
    </row>
    <row customHeight="1" ht="45">
      <c r="A13" s="853" t="s">
        <v>2015</v>
      </c>
      <c r="B13" s="853"/>
      <c r="C13" s="853" t="s">
        <v>2016</v>
      </c>
      <c r="D13" s="853"/>
      <c r="E13" s="853"/>
      <c r="F13" s="993"/>
      <c r="G13" s="993"/>
      <c r="H13" s="993"/>
    </row>
    <row customHeight="1" ht="117">
      <c r="A14" s="853" t="s">
        <v>2017</v>
      </c>
      <c r="B14" s="853"/>
      <c r="C14" s="853" t="s">
        <v>2018</v>
      </c>
      <c r="D14" s="853"/>
      <c r="E14" s="853"/>
      <c r="F14" s="993"/>
      <c r="G14" s="993"/>
      <c r="H14" s="993"/>
    </row>
    <row customHeight="1" ht="117">
      <c r="A15" s="853" t="s">
        <v>2019</v>
      </c>
      <c r="B15" s="853"/>
      <c r="C15" s="853" t="s">
        <v>2020</v>
      </c>
      <c r="D15" s="853"/>
      <c r="E15" s="853"/>
      <c r="F15" s="993"/>
      <c r="G15" s="993"/>
      <c r="H15" s="993"/>
    </row>
    <row customHeight="1" ht="63">
      <c r="A16" s="853" t="s">
        <v>2021</v>
      </c>
      <c r="B16" s="853"/>
      <c r="C16" s="853" t="s">
        <v>2022</v>
      </c>
      <c r="D16" s="853"/>
      <c r="E16" s="853"/>
      <c r="F16" s="993"/>
      <c r="G16" s="993"/>
      <c r="H16" s="993"/>
    </row>
    <row customHeight="1" ht="54">
      <c r="A17" s="853" t="s">
        <v>2023</v>
      </c>
      <c r="B17" s="853"/>
      <c r="C17" s="991" t="s">
        <v>2024</v>
      </c>
      <c r="D17" s="853"/>
      <c r="E17" s="853"/>
      <c r="F17" s="993"/>
      <c r="G17" s="993"/>
      <c r="H17" s="993"/>
    </row>
    <row customHeight="1" ht="27">
      <c r="A18" s="853" t="s">
        <v>2025</v>
      </c>
      <c r="B18" s="853"/>
      <c r="C18" s="991" t="s">
        <v>2026</v>
      </c>
      <c r="D18" s="853"/>
      <c r="E18" s="853"/>
      <c r="F18" s="993"/>
      <c r="G18" s="993"/>
      <c r="H18" s="993"/>
    </row>
    <row customHeight="1" ht="54">
      <c r="A19" s="853" t="s">
        <v>2027</v>
      </c>
      <c r="B19" s="853"/>
      <c r="C19" s="991" t="s">
        <v>2028</v>
      </c>
      <c r="D19" s="853"/>
      <c r="E19" s="853"/>
      <c r="F19" s="993"/>
      <c r="G19" s="993"/>
      <c r="H19" s="993"/>
    </row>
    <row customHeight="1" ht="36">
      <c r="A20" s="853" t="s">
        <v>2029</v>
      </c>
      <c r="B20" s="853"/>
      <c r="C20" s="991" t="s">
        <v>2030</v>
      </c>
      <c r="D20" s="853"/>
      <c r="E20" s="853"/>
      <c r="F20" s="993"/>
      <c r="G20" s="993"/>
      <c r="H20" s="993"/>
    </row>
    <row customHeight="1" ht="36">
      <c r="A21" s="853" t="s">
        <v>2031</v>
      </c>
      <c r="B21" s="853"/>
      <c r="C21" s="991" t="s">
        <v>2032</v>
      </c>
      <c r="D21" s="853"/>
      <c r="E21" s="853"/>
      <c r="F21" s="993"/>
      <c r="G21" s="993"/>
      <c r="H21" s="993"/>
    </row>
    <row customHeight="1" ht="27">
      <c r="A22" s="853" t="s">
        <v>2033</v>
      </c>
      <c r="B22" s="853"/>
      <c r="C22" s="991" t="s">
        <v>2034</v>
      </c>
      <c r="D22" s="853"/>
      <c r="E22" s="853"/>
      <c r="F22" s="993"/>
      <c r="G22" s="993"/>
      <c r="H22" s="993"/>
    </row>
    <row customHeight="1" ht="36">
      <c r="A23" s="853" t="s">
        <v>2035</v>
      </c>
      <c r="B23" s="853"/>
      <c r="C23" s="991" t="s">
        <v>2036</v>
      </c>
      <c r="D23" s="853"/>
      <c r="E23" s="853"/>
      <c r="F23" s="993"/>
      <c r="G23" s="993"/>
      <c r="H23" s="993"/>
    </row>
    <row customHeight="1" ht="28.5">
      <c r="A24" s="853" t="s">
        <v>2037</v>
      </c>
      <c r="B24" s="853"/>
      <c r="C24" s="991" t="s">
        <v>2038</v>
      </c>
      <c r="D24" s="853"/>
      <c r="E24" s="853"/>
      <c r="F24" s="993"/>
      <c r="G24" s="993"/>
      <c r="H24" s="993"/>
    </row>
    <row customHeight="1" ht="36">
      <c r="A25" s="853" t="s">
        <v>2039</v>
      </c>
      <c r="B25" s="853"/>
      <c r="C25" s="991" t="s">
        <v>2040</v>
      </c>
      <c r="D25" s="853"/>
      <c r="E25" s="853"/>
      <c r="F25" s="993"/>
      <c r="G25" s="993"/>
      <c r="H25" s="993"/>
    </row>
    <row customHeight="1" ht="27">
      <c r="A26" s="853" t="s">
        <v>2041</v>
      </c>
      <c r="B26" s="853"/>
      <c r="C26" s="991" t="s">
        <v>2042</v>
      </c>
      <c r="D26" s="853"/>
      <c r="E26" s="853"/>
      <c r="F26" s="993"/>
      <c r="G26" s="993"/>
      <c r="H26" s="993"/>
    </row>
    <row customHeight="1" ht="36">
      <c r="A27" s="853" t="s">
        <v>2043</v>
      </c>
      <c r="B27" s="853"/>
      <c r="C27" s="991" t="s">
        <v>2044</v>
      </c>
      <c r="D27" s="853"/>
      <c r="E27" s="853"/>
      <c r="F27" s="993"/>
      <c r="G27" s="993"/>
      <c r="H27" s="993"/>
    </row>
    <row customHeight="1" ht="28.5">
      <c r="A28" s="853" t="s">
        <v>2045</v>
      </c>
      <c r="B28" s="853"/>
      <c r="C28" s="991" t="s">
        <v>2046</v>
      </c>
      <c r="D28" s="853"/>
      <c r="E28" s="853"/>
      <c r="F28" s="993"/>
      <c r="G28" s="993"/>
      <c r="H28" s="993"/>
    </row>
    <row customHeight="1" ht="126">
      <c r="A29" s="853" t="s">
        <v>2047</v>
      </c>
      <c r="B29" s="853" t="s">
        <v>1624</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3" t="s">
        <v>2048</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3" t="s">
        <v>2049</v>
      </c>
    </row>
    <row customHeight="1" ht="36">
      <c r="A30" s="853" t="s">
        <v>2050</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3" t="s">
        <v>2051</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3" t="s">
        <v>2052</v>
      </c>
      <c r="B31" s="853"/>
      <c r="C31" s="991" t="str">
        <f>IF(TEMPLATE_SPHERE="HEAT",D31,IF(TEMPLATE_SPHERE="TKO",H31,E31))</f>
        <v>Форма 1. Информация об организации, осуществляющей водоотведение (общая информация)</v>
      </c>
      <c r="D31" s="853" t="s">
        <v>2053</v>
      </c>
      <c r="E31" s="8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3" t="s">
        <v>2054</v>
      </c>
      <c r="B32" s="853"/>
      <c r="C32" s="991" t="str">
        <f>IF(TEMPLATE_SPHERE="HEAT",D32,IF(TEMPLATE_SPHERE="TKO",H32,E32))</f>
        <v>Форма 7. Информация об инвестиционных программах организации водоотведения и отчетах об их исполнении</v>
      </c>
      <c r="D32" s="853" t="s">
        <v>2055</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3" t="s">
        <v>2056</v>
      </c>
    </row>
    <row customHeight="1" ht="9">
      <c r="A33" s="853"/>
      <c r="B33" s="853"/>
      <c r="C33" s="991"/>
      <c r="D33" s="853"/>
      <c r="E33" s="853"/>
      <c r="F33" s="993"/>
      <c r="G33" s="993"/>
      <c r="H33" s="993"/>
    </row>
    <row customHeight="1" ht="9">
      <c r="A34" s="853"/>
      <c r="B34" s="853" t="s">
        <v>1561</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3D63D6-CE5F-E57F-78BC-4A8E255DE1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2057</v>
      </c>
      <c r="D1" s="905"/>
      <c r="E1" s="905"/>
      <c r="F1" s="905"/>
      <c r="G1" s="905"/>
      <c r="H1" s="905" t="s">
        <v>2058</v>
      </c>
      <c r="I1" s="905"/>
      <c r="J1" s="905"/>
      <c r="K1" s="905"/>
      <c r="L1" s="905"/>
      <c r="M1" s="905" t="s">
        <v>2059</v>
      </c>
      <c r="N1" s="905" t="s">
        <v>2060</v>
      </c>
      <c r="O1" s="2618" t="s">
        <v>2061</v>
      </c>
      <c r="P1" s="2618"/>
      <c r="Q1" s="2618"/>
      <c r="R1" s="2618"/>
      <c r="S1" s="2618"/>
      <c r="T1" s="2618" t="s">
        <v>2059</v>
      </c>
      <c r="U1" s="2618"/>
      <c r="V1" s="2618"/>
      <c r="W1" s="2618"/>
      <c r="X1" s="2618"/>
      <c r="Y1" s="1006"/>
      <c r="Z1" s="2618" t="s">
        <v>2062</v>
      </c>
      <c r="AA1" s="2618"/>
      <c r="AB1" s="2618"/>
      <c r="AC1" s="2618"/>
      <c r="AD1" s="2618"/>
    </row>
    <row customHeight="1" ht="18">
      <c r="A2" s="853"/>
      <c r="B2" s="853"/>
      <c r="C2" s="848" t="s">
        <v>835</v>
      </c>
      <c r="D2" s="848" t="s">
        <v>881</v>
      </c>
      <c r="E2" s="848" t="s">
        <v>934</v>
      </c>
      <c r="F2" s="848" t="s">
        <v>921</v>
      </c>
      <c r="G2" s="848" t="s">
        <v>1671</v>
      </c>
      <c r="H2" s="850"/>
      <c r="I2" s="850"/>
      <c r="J2" s="850"/>
      <c r="K2" s="850"/>
      <c r="L2" s="850"/>
      <c r="M2" s="850"/>
      <c r="N2" s="850"/>
      <c r="O2" s="848" t="s">
        <v>835</v>
      </c>
      <c r="P2" s="848" t="s">
        <v>881</v>
      </c>
      <c r="Q2" s="848" t="s">
        <v>921</v>
      </c>
      <c r="R2" s="848" t="s">
        <v>934</v>
      </c>
      <c r="S2" s="848" t="s">
        <v>1671</v>
      </c>
      <c r="T2" s="848" t="s">
        <v>835</v>
      </c>
      <c r="U2" s="848" t="s">
        <v>881</v>
      </c>
      <c r="V2" s="848" t="s">
        <v>921</v>
      </c>
      <c r="W2" s="848" t="s">
        <v>934</v>
      </c>
      <c r="X2" s="848" t="s">
        <v>1671</v>
      </c>
      <c r="Y2" s="848"/>
      <c r="Z2" s="848" t="s">
        <v>835</v>
      </c>
      <c r="AA2" s="857" t="s">
        <v>881</v>
      </c>
      <c r="AB2" s="848" t="s">
        <v>921</v>
      </c>
      <c r="AC2" s="848" t="s">
        <v>934</v>
      </c>
      <c r="AD2" s="848" t="s">
        <v>1671</v>
      </c>
    </row>
    <row customHeight="1" ht="162">
      <c r="A3" s="852" t="s">
        <v>27</v>
      </c>
      <c r="B3" s="852"/>
      <c r="C3" s="2622" t="s">
        <v>2063</v>
      </c>
      <c r="D3" s="2623"/>
      <c r="E3" s="2623"/>
      <c r="F3" s="2624"/>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0"/>
      <c r="P3" s="850"/>
      <c r="Q3" s="850"/>
      <c r="R3" s="850"/>
      <c r="S3" s="850"/>
      <c r="T3" s="850"/>
      <c r="U3" s="850"/>
      <c r="V3" s="850"/>
      <c r="W3" s="850"/>
      <c r="X3" s="850"/>
      <c r="Y3" s="1007"/>
      <c r="Z3" s="853" t="s">
        <v>2064</v>
      </c>
      <c r="AA3" s="850" t="s">
        <v>2065</v>
      </c>
      <c r="AB3" s="853" t="s">
        <v>2066</v>
      </c>
      <c r="AC3" s="853" t="s">
        <v>2067</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9" t="s">
        <v>33</v>
      </c>
      <c r="B11" s="906">
        <v>1</v>
      </c>
      <c r="C11" s="2625" t="s">
        <v>1611</v>
      </c>
      <c r="D11" s="2625" t="s">
        <v>1607</v>
      </c>
      <c r="E11" s="2625" t="s">
        <v>1704</v>
      </c>
      <c r="F11" s="2625" t="s">
        <v>2068</v>
      </c>
      <c r="G11" s="2625"/>
      <c r="H11" s="905" t="s">
        <v>2069</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0"/>
      <c r="P11" s="850"/>
      <c r="Q11" s="850"/>
      <c r="R11" s="850"/>
      <c r="S11" s="850"/>
      <c r="T11" s="850" t="s">
        <v>2070</v>
      </c>
      <c r="U11" s="850" t="s">
        <v>2071</v>
      </c>
      <c r="V11" s="850"/>
      <c r="W11" s="850"/>
      <c r="X11" s="850"/>
      <c r="Y11" s="1007"/>
      <c r="Z11" s="853" t="s">
        <v>2072</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3"/>
      <c r="AC11" s="853"/>
      <c r="AD11" s="853"/>
    </row>
    <row customHeight="1" ht="45">
      <c r="A12" s="2619"/>
      <c r="B12" s="906">
        <v>2</v>
      </c>
      <c r="C12" s="2626"/>
      <c r="D12" s="2626"/>
      <c r="E12" s="2626"/>
      <c r="F12" s="2626"/>
      <c r="G12" s="2626"/>
      <c r="H12" s="905" t="s">
        <v>2073</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0"/>
      <c r="P12" s="850"/>
      <c r="Q12" s="850"/>
      <c r="R12" s="850"/>
      <c r="S12" s="850"/>
      <c r="T12" s="850" t="s">
        <v>2074</v>
      </c>
      <c r="U12" s="850" t="s">
        <v>2075</v>
      </c>
      <c r="V12" s="850"/>
      <c r="W12" s="850"/>
      <c r="X12" s="850"/>
      <c r="Y12" s="1007"/>
      <c r="Z12" s="853" t="s">
        <v>2076</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3"/>
      <c r="AC12" s="853"/>
      <c r="AD12" s="853"/>
    </row>
    <row customHeight="1" ht="72">
      <c r="A13" s="2619"/>
      <c r="B13" s="906">
        <v>3</v>
      </c>
      <c r="C13" s="2626"/>
      <c r="D13" s="2626"/>
      <c r="E13" s="2626"/>
      <c r="F13" s="2626"/>
      <c r="G13" s="2626"/>
      <c r="H13" s="2618" t="s">
        <v>2077</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0"/>
      <c r="P13" s="851"/>
      <c r="Q13" s="851"/>
      <c r="R13" s="851"/>
      <c r="S13" s="850"/>
      <c r="T13" s="850" t="s">
        <v>2078</v>
      </c>
      <c r="U13" s="851" t="s">
        <v>2079</v>
      </c>
      <c r="V13" s="851"/>
      <c r="W13" s="851"/>
      <c r="X13" s="850"/>
      <c r="Y13" s="1007"/>
      <c r="Z13" s="853" t="s">
        <v>2080</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3"/>
      <c r="AC13" s="853"/>
      <c r="AD13" s="853"/>
    </row>
    <row customHeight="1" ht="45">
      <c r="A14" s="2619"/>
      <c r="B14" s="906">
        <v>4</v>
      </c>
      <c r="C14" s="2626"/>
      <c r="D14" s="2626"/>
      <c r="E14" s="2626"/>
      <c r="F14" s="2626"/>
      <c r="G14" s="2626"/>
      <c r="H14" s="2618"/>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2081</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1"/>
      <c r="W14" s="851"/>
      <c r="X14" s="850"/>
      <c r="Y14" s="1007"/>
      <c r="Z14" s="853" t="s">
        <v>2082</v>
      </c>
      <c r="AA14" s="856" t="s">
        <v>2082</v>
      </c>
      <c r="AB14" s="853"/>
      <c r="AC14" s="853"/>
      <c r="AD14" s="853"/>
    </row>
    <row customHeight="1" ht="108">
      <c r="A15" s="2619"/>
      <c r="B15" s="906">
        <v>5</v>
      </c>
      <c r="C15" s="2626"/>
      <c r="D15" s="2626"/>
      <c r="E15" s="2626"/>
      <c r="F15" s="2626"/>
      <c r="G15" s="2626"/>
      <c r="H15" s="2620" t="s">
        <v>2083</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0"/>
      <c r="P15" s="851"/>
      <c r="Q15" s="851"/>
      <c r="R15" s="851"/>
      <c r="S15" s="850"/>
      <c r="T15" s="850" t="s">
        <v>2084</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1"/>
      <c r="W15" s="851"/>
      <c r="X15" s="850"/>
      <c r="Y15" s="1007"/>
      <c r="Z15" s="853" t="s">
        <v>2085</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3"/>
      <c r="AC15" s="853"/>
      <c r="AD15" s="853"/>
    </row>
    <row customHeight="1" ht="108">
      <c r="A16" s="906"/>
      <c r="B16" s="906">
        <v>6</v>
      </c>
      <c r="C16" s="2627"/>
      <c r="D16" s="2627"/>
      <c r="E16" s="2627"/>
      <c r="F16" s="2627"/>
      <c r="G16" s="2627"/>
      <c r="H16" s="2621"/>
      <c r="I16" s="969"/>
      <c r="J16" s="969"/>
      <c r="K16" s="969"/>
      <c r="L16" s="969"/>
      <c r="M16" s="899"/>
      <c r="N16" s="85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0"/>
      <c r="P16" s="851"/>
      <c r="Q16" s="851"/>
      <c r="R16" s="851"/>
      <c r="S16" s="850"/>
      <c r="T16" s="850"/>
      <c r="U16" s="851"/>
      <c r="V16" s="851"/>
      <c r="W16" s="851"/>
      <c r="X16" s="850"/>
      <c r="Y16" s="1007"/>
      <c r="Z16" s="853" t="s">
        <v>2085</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1707</v>
      </c>
      <c r="B18" s="906">
        <v>1</v>
      </c>
      <c r="C18" s="850" t="s">
        <v>2069</v>
      </c>
      <c r="D18" s="974" t="s">
        <v>2069</v>
      </c>
      <c r="E18" s="850" t="s">
        <v>2069</v>
      </c>
      <c r="F18" s="850" t="s">
        <v>2069</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водоотведения</v>
      </c>
      <c r="N18" s="851" t="str">
        <f>IF(K18=0,"",K18)</f>
        <v>Указывается выручка с распределением по видам деятельности.</v>
      </c>
      <c r="O18" s="964">
        <v>1</v>
      </c>
      <c r="P18" s="964">
        <v>1</v>
      </c>
      <c r="Q18" s="964">
        <v>1</v>
      </c>
      <c r="R18" s="964">
        <v>1</v>
      </c>
      <c r="S18" s="964"/>
      <c r="T18" s="971" t="s">
        <v>2086</v>
      </c>
      <c r="U18" s="853" t="s">
        <v>2087</v>
      </c>
      <c r="V18" s="853" t="s">
        <v>2088</v>
      </c>
      <c r="W18" s="853" t="s">
        <v>2089</v>
      </c>
      <c r="X18" s="850"/>
      <c r="Y18" s="1007"/>
      <c r="Z18" s="853" t="s">
        <v>2090</v>
      </c>
      <c r="AA18" s="856" t="s">
        <v>2091</v>
      </c>
      <c r="AB18" s="856" t="s">
        <v>2091</v>
      </c>
      <c r="AC18" s="856" t="s">
        <v>2091</v>
      </c>
      <c r="AD18" s="853"/>
    </row>
    <row customHeight="1" ht="36">
      <c r="A19" s="852"/>
      <c r="B19" s="906">
        <v>2</v>
      </c>
      <c r="C19" s="850" t="s">
        <v>2073</v>
      </c>
      <c r="D19" s="974" t="s">
        <v>2073</v>
      </c>
      <c r="E19" s="850" t="s">
        <v>2073</v>
      </c>
      <c r="F19" s="850" t="s">
        <v>2073</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водоотведения, включая:</v>
      </c>
      <c r="N19" s="851" t="str">
        <f>IF(K19=0,"",K19)</f>
        <v>Указывается суммарная себестоимость производимых товаров.</v>
      </c>
      <c r="O19" s="964">
        <v>2</v>
      </c>
      <c r="P19" s="964">
        <v>2</v>
      </c>
      <c r="Q19" s="964">
        <v>2</v>
      </c>
      <c r="R19" s="964">
        <v>2</v>
      </c>
      <c r="S19" s="964"/>
      <c r="T19" s="971" t="s">
        <v>2092</v>
      </c>
      <c r="U19" s="853" t="s">
        <v>2093</v>
      </c>
      <c r="V19" s="853" t="s">
        <v>2094</v>
      </c>
      <c r="W19" s="853" t="s">
        <v>2095</v>
      </c>
      <c r="X19" s="850"/>
      <c r="Y19" s="1007"/>
      <c r="Z19" s="853" t="s">
        <v>2096</v>
      </c>
      <c r="AA19" s="856" t="s">
        <v>2096</v>
      </c>
      <c r="AB19" s="856" t="s">
        <v>2096</v>
      </c>
      <c r="AC19" s="856" t="s">
        <v>2096</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1" t="str">
        <f>IF(I20=0,"",I20)</f>
        <v>2.1</v>
      </c>
      <c r="M20" s="851" t="str">
        <f>IF(J20=0,"",J20)</f>
        <v>Расходы на оплату услуг по приему, транспортировке и очистке сточных вод другими организациями</v>
      </c>
      <c r="N20" s="851" t="str">
        <f>IF(K20=0,"",K20)</f>
        <v/>
      </c>
      <c r="O20" s="964" t="s">
        <v>718</v>
      </c>
      <c r="P20" s="964" t="s">
        <v>718</v>
      </c>
      <c r="Q20" s="964" t="s">
        <v>718</v>
      </c>
      <c r="R20" s="964" t="s">
        <v>718</v>
      </c>
      <c r="S20" s="964"/>
      <c r="T20" s="971" t="s">
        <v>2097</v>
      </c>
      <c r="U20" s="853" t="s">
        <v>2098</v>
      </c>
      <c r="V20" s="853" t="s">
        <v>2099</v>
      </c>
      <c r="W20" s="853" t="s">
        <v>2100</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306</v>
      </c>
      <c r="P21" s="964"/>
      <c r="Q21" s="964"/>
      <c r="R21" s="964"/>
      <c r="S21" s="964"/>
      <c r="T21" s="971" t="s">
        <v>2101</v>
      </c>
      <c r="U21" s="853"/>
      <c r="V21" s="853"/>
      <c r="W21" s="853"/>
      <c r="X21" s="850"/>
      <c r="Y21" s="1007"/>
      <c r="Z21" s="853" t="s">
        <v>2102</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306</v>
      </c>
      <c r="R22" s="964"/>
      <c r="S22" s="964"/>
      <c r="T22" s="971"/>
      <c r="U22" s="853"/>
      <c r="V22" s="853" t="s">
        <v>2103</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309</v>
      </c>
      <c r="R23" s="964"/>
      <c r="S23" s="964"/>
      <c r="T23" s="971"/>
      <c r="U23" s="853"/>
      <c r="V23" s="853" t="s">
        <v>2104</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738</v>
      </c>
      <c r="R24" s="964"/>
      <c r="S24" s="964"/>
      <c r="T24" s="971"/>
      <c r="U24" s="853"/>
      <c r="V24" s="853" t="s">
        <v>2105</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309</v>
      </c>
      <c r="P25" s="964" t="s">
        <v>306</v>
      </c>
      <c r="Q25" s="964" t="s">
        <v>745</v>
      </c>
      <c r="R25" s="964" t="s">
        <v>306</v>
      </c>
      <c r="S25" s="964"/>
      <c r="T25" s="971" t="s">
        <v>2106</v>
      </c>
      <c r="U25" s="853" t="s">
        <v>2106</v>
      </c>
      <c r="V25" s="853" t="s">
        <v>2106</v>
      </c>
      <c r="W25" s="853" t="s">
        <v>2106</v>
      </c>
      <c r="X25" s="850"/>
      <c r="Y25" s="1007"/>
      <c r="Z25" s="853"/>
      <c r="AA25" s="856"/>
      <c r="AB25" s="853"/>
      <c r="AC25" s="853"/>
      <c r="AD25" s="853"/>
    </row>
    <row customHeight="1" ht="18">
      <c r="A26" s="852"/>
      <c r="B26" s="906">
        <v>9</v>
      </c>
      <c r="C26" s="850" t="s">
        <v>662</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734</v>
      </c>
      <c r="P26" s="964" t="s">
        <v>728</v>
      </c>
      <c r="Q26" s="964" t="s">
        <v>2107</v>
      </c>
      <c r="R26" s="964" t="s">
        <v>728</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2108</v>
      </c>
      <c r="V26" s="971" t="s">
        <v>2108</v>
      </c>
      <c r="W26" s="971" t="s">
        <v>2108</v>
      </c>
      <c r="X26" s="850"/>
      <c r="Y26" s="1007"/>
      <c r="Z26" s="853"/>
      <c r="AA26" s="856"/>
      <c r="AB26" s="853"/>
      <c r="AC26" s="853"/>
      <c r="AD26" s="853"/>
    </row>
    <row customHeight="1" ht="18">
      <c r="A27" s="852"/>
      <c r="B27" s="906">
        <v>10</v>
      </c>
      <c r="C27" s="850" t="s">
        <v>666</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736</v>
      </c>
      <c r="P27" s="964" t="s">
        <v>730</v>
      </c>
      <c r="Q27" s="964" t="s">
        <v>2109</v>
      </c>
      <c r="R27" s="964" t="s">
        <v>730</v>
      </c>
      <c r="S27" s="964"/>
      <c r="T27" s="971" t="s">
        <v>2110</v>
      </c>
      <c r="U27" s="971" t="s">
        <v>2110</v>
      </c>
      <c r="V27" s="971" t="s">
        <v>2110</v>
      </c>
      <c r="W27" s="971" t="s">
        <v>2110</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738</v>
      </c>
      <c r="P28" s="964"/>
      <c r="Q28" s="964"/>
      <c r="R28" s="964"/>
      <c r="S28" s="964"/>
      <c r="T28" s="971" t="s">
        <v>2111</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745</v>
      </c>
      <c r="P29" s="964" t="s">
        <v>309</v>
      </c>
      <c r="Q29" s="964"/>
      <c r="R29" s="964" t="s">
        <v>309</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2112</v>
      </c>
      <c r="V29" s="853"/>
      <c r="W29" s="853" t="s">
        <v>2112</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747</v>
      </c>
      <c r="P30" s="964" t="s">
        <v>738</v>
      </c>
      <c r="Q30" s="964" t="s">
        <v>747</v>
      </c>
      <c r="R30" s="964" t="s">
        <v>738</v>
      </c>
      <c r="S30" s="964"/>
      <c r="T30" s="971" t="s">
        <v>2113</v>
      </c>
      <c r="U30" s="853" t="s">
        <v>2113</v>
      </c>
      <c r="V30" s="853" t="s">
        <v>2113</v>
      </c>
      <c r="W30" s="853" t="s">
        <v>2113</v>
      </c>
      <c r="X30" s="850"/>
      <c r="Y30" s="1007"/>
      <c r="Z30" s="853"/>
      <c r="AA30" s="856" t="s">
        <v>2114</v>
      </c>
      <c r="AB30" s="856" t="s">
        <v>2114</v>
      </c>
      <c r="AC30" s="856" t="s">
        <v>2114</v>
      </c>
      <c r="AD30" s="853"/>
    </row>
    <row customHeight="1" ht="18">
      <c r="A31" s="852"/>
      <c r="B31" s="906">
        <v>14</v>
      </c>
      <c r="C31" s="850" t="s">
        <v>2115</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2116</v>
      </c>
      <c r="P31" s="964" t="s">
        <v>741</v>
      </c>
      <c r="Q31" s="964" t="s">
        <v>2116</v>
      </c>
      <c r="R31" s="964" t="s">
        <v>741</v>
      </c>
      <c r="S31" s="964"/>
      <c r="T31" s="972" t="s">
        <v>2117</v>
      </c>
      <c r="U31" s="853" t="s">
        <v>2117</v>
      </c>
      <c r="V31" s="853" t="s">
        <v>2117</v>
      </c>
      <c r="W31" s="853" t="s">
        <v>2117</v>
      </c>
      <c r="X31" s="850"/>
      <c r="Y31" s="1007"/>
      <c r="Z31" s="853"/>
      <c r="AA31" s="856"/>
      <c r="AB31" s="856"/>
      <c r="AC31" s="856"/>
      <c r="AD31" s="853"/>
    </row>
    <row customHeight="1" ht="36">
      <c r="A32" s="852"/>
      <c r="B32" s="906">
        <v>15</v>
      </c>
      <c r="C32" s="850" t="s">
        <v>2118</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2119</v>
      </c>
      <c r="P32" s="964" t="s">
        <v>743</v>
      </c>
      <c r="Q32" s="964" t="s">
        <v>2119</v>
      </c>
      <c r="R32" s="964" t="s">
        <v>743</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2120</v>
      </c>
      <c r="V32" s="853" t="s">
        <v>2120</v>
      </c>
      <c r="W32" s="853" t="s">
        <v>2120</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749</v>
      </c>
      <c r="P33" s="964" t="s">
        <v>745</v>
      </c>
      <c r="Q33" s="964" t="s">
        <v>749</v>
      </c>
      <c r="R33" s="964" t="s">
        <v>745</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2121</v>
      </c>
      <c r="V33" s="853" t="s">
        <v>2121</v>
      </c>
      <c r="W33" s="853" t="s">
        <v>2122</v>
      </c>
      <c r="X33" s="850"/>
      <c r="Y33" s="1007"/>
      <c r="Z33" s="853"/>
      <c r="AA33" s="856" t="s">
        <v>2123</v>
      </c>
      <c r="AB33" s="856" t="s">
        <v>2123</v>
      </c>
      <c r="AC33" s="856" t="s">
        <v>2123</v>
      </c>
      <c r="AD33" s="853"/>
    </row>
    <row customHeight="1" ht="27">
      <c r="A34" s="852"/>
      <c r="B34" s="906">
        <v>17</v>
      </c>
      <c r="C34" s="850" t="s">
        <v>2124</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 в том числе:</v>
      </c>
      <c r="N34" s="851" t="str">
        <f>IF(K34=0,"",K34)</f>
        <v/>
      </c>
      <c r="O34" s="964" t="s">
        <v>2125</v>
      </c>
      <c r="P34" s="964" t="s">
        <v>2107</v>
      </c>
      <c r="Q34" s="964" t="s">
        <v>2125</v>
      </c>
      <c r="R34" s="964" t="s">
        <v>2107</v>
      </c>
      <c r="S34" s="964"/>
      <c r="T34" s="973" t="s">
        <v>2126</v>
      </c>
      <c r="U34" s="853" t="s">
        <v>2126</v>
      </c>
      <c r="V34" s="853" t="s">
        <v>2126</v>
      </c>
      <c r="W34" s="853" t="s">
        <v>2127</v>
      </c>
      <c r="X34" s="850"/>
      <c r="Y34" s="1007"/>
      <c r="Z34" s="853"/>
      <c r="AA34" s="856"/>
      <c r="AB34" s="853"/>
      <c r="AC34" s="853"/>
      <c r="AD34" s="853"/>
    </row>
    <row customHeight="1" ht="45">
      <c r="A35" s="852"/>
      <c r="B35" s="906">
        <v>18</v>
      </c>
      <c r="C35" s="850" t="s">
        <v>2128</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2129</v>
      </c>
      <c r="P35" s="964" t="s">
        <v>2109</v>
      </c>
      <c r="Q35" s="964" t="s">
        <v>2129</v>
      </c>
      <c r="R35" s="964" t="s">
        <v>2109</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2130</v>
      </c>
      <c r="V35" s="853" t="s">
        <v>2130</v>
      </c>
      <c r="W35" s="853" t="s">
        <v>2130</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751</v>
      </c>
      <c r="P36" s="964" t="s">
        <v>747</v>
      </c>
      <c r="Q36" s="964" t="s">
        <v>751</v>
      </c>
      <c r="R36" s="964" t="s">
        <v>747</v>
      </c>
      <c r="S36" s="964"/>
      <c r="T36" s="971" t="s">
        <v>2131</v>
      </c>
      <c r="U36" s="853" t="s">
        <v>2131</v>
      </c>
      <c r="V36" s="853" t="s">
        <v>2131</v>
      </c>
      <c r="W36" s="853" t="s">
        <v>2131</v>
      </c>
      <c r="X36" s="850"/>
      <c r="Y36" s="1007"/>
      <c r="Z36" s="853"/>
      <c r="AA36" s="856"/>
      <c r="AB36" s="853"/>
      <c r="AC36" s="853"/>
      <c r="AD36" s="853"/>
    </row>
    <row customHeight="1" ht="18">
      <c r="A37" s="852"/>
      <c r="B37" s="906">
        <v>20</v>
      </c>
      <c r="C37" s="850" t="s">
        <v>2132</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2133</v>
      </c>
      <c r="P37" s="964" t="s">
        <v>2116</v>
      </c>
      <c r="Q37" s="964" t="s">
        <v>2133</v>
      </c>
      <c r="R37" s="964" t="s">
        <v>2116</v>
      </c>
      <c r="S37" s="964"/>
      <c r="T37" s="971" t="s">
        <v>2134</v>
      </c>
      <c r="U37" s="853" t="s">
        <v>2134</v>
      </c>
      <c r="V37" s="853" t="s">
        <v>2134</v>
      </c>
      <c r="W37" s="853" t="s">
        <v>2134</v>
      </c>
      <c r="X37" s="850"/>
      <c r="Y37" s="1007"/>
      <c r="Z37" s="853"/>
      <c r="AA37" s="856"/>
      <c r="AB37" s="853"/>
      <c r="AC37" s="853"/>
      <c r="AD37" s="853"/>
    </row>
    <row customHeight="1" ht="18">
      <c r="A38" s="852"/>
      <c r="B38" s="906">
        <v>21</v>
      </c>
      <c r="C38" s="850" t="s">
        <v>2135</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2136</v>
      </c>
      <c r="P38" s="964" t="s">
        <v>2119</v>
      </c>
      <c r="Q38" s="964" t="s">
        <v>2136</v>
      </c>
      <c r="R38" s="964" t="s">
        <v>2119</v>
      </c>
      <c r="S38" s="964"/>
      <c r="T38" s="971" t="s">
        <v>2137</v>
      </c>
      <c r="U38" s="853" t="s">
        <v>2137</v>
      </c>
      <c r="V38" s="853" t="s">
        <v>2137</v>
      </c>
      <c r="W38" s="853" t="s">
        <v>2137</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водоотведения</v>
      </c>
      <c r="N39" s="851" t="str">
        <f>IF(K39=0,"",K39)</f>
        <v/>
      </c>
      <c r="O39" s="964" t="s">
        <v>755</v>
      </c>
      <c r="P39" s="964" t="s">
        <v>749</v>
      </c>
      <c r="Q39" s="964" t="s">
        <v>755</v>
      </c>
      <c r="R39" s="964" t="s">
        <v>749</v>
      </c>
      <c r="S39" s="964"/>
      <c r="T39" s="971" t="s">
        <v>2138</v>
      </c>
      <c r="U39" s="853" t="s">
        <v>2139</v>
      </c>
      <c r="V39" s="853" t="s">
        <v>2140</v>
      </c>
      <c r="W39" s="853" t="s">
        <v>2141</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807</v>
      </c>
      <c r="P40" s="964" t="s">
        <v>751</v>
      </c>
      <c r="Q40" s="964" t="s">
        <v>807</v>
      </c>
      <c r="R40" s="964" t="s">
        <v>751</v>
      </c>
      <c r="S40" s="964"/>
      <c r="T40" s="850" t="s">
        <v>2142</v>
      </c>
      <c r="U40" s="850" t="s">
        <v>2142</v>
      </c>
      <c r="V40" s="850" t="s">
        <v>2142</v>
      </c>
      <c r="W40" s="850" t="s">
        <v>2142</v>
      </c>
      <c r="X40" s="850"/>
      <c r="Y40" s="1007"/>
      <c r="Z40" s="853" t="s">
        <v>2143</v>
      </c>
      <c r="AA40" s="856" t="s">
        <v>2143</v>
      </c>
      <c r="AB40" s="856" t="s">
        <v>2143</v>
      </c>
      <c r="AC40" s="856" t="s">
        <v>2143</v>
      </c>
      <c r="AD40" s="853"/>
    </row>
    <row customHeight="1" ht="27">
      <c r="A41" s="852"/>
      <c r="B41" s="906">
        <v>24</v>
      </c>
      <c r="C41" s="850" t="s">
        <v>2144</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2145</v>
      </c>
      <c r="P41" s="964" t="s">
        <v>2133</v>
      </c>
      <c r="Q41" s="964" t="s">
        <v>2145</v>
      </c>
      <c r="R41" s="964" t="s">
        <v>2133</v>
      </c>
      <c r="S41" s="964"/>
      <c r="T41" s="850" t="s">
        <v>2146</v>
      </c>
      <c r="U41" s="850" t="s">
        <v>2146</v>
      </c>
      <c r="V41" s="850" t="s">
        <v>2146</v>
      </c>
      <c r="W41" s="850" t="s">
        <v>2146</v>
      </c>
      <c r="X41" s="850"/>
      <c r="Y41" s="1007"/>
      <c r="Z41" s="853" t="s">
        <v>2147</v>
      </c>
      <c r="AA41" s="853" t="s">
        <v>2147</v>
      </c>
      <c r="AB41" s="853" t="s">
        <v>2147</v>
      </c>
      <c r="AC41" s="853" t="s">
        <v>2147</v>
      </c>
      <c r="AD41" s="853"/>
    </row>
    <row customHeight="1" ht="27">
      <c r="A42" s="852"/>
      <c r="B42" s="906">
        <v>25</v>
      </c>
      <c r="C42" s="850" t="s">
        <v>2148</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2149</v>
      </c>
      <c r="P42" s="964" t="s">
        <v>2136</v>
      </c>
      <c r="Q42" s="964" t="s">
        <v>2149</v>
      </c>
      <c r="R42" s="964" t="s">
        <v>2136</v>
      </c>
      <c r="S42" s="964"/>
      <c r="T42" s="850" t="s">
        <v>2150</v>
      </c>
      <c r="U42" s="850" t="s">
        <v>2150</v>
      </c>
      <c r="V42" s="850" t="s">
        <v>2150</v>
      </c>
      <c r="W42" s="850" t="s">
        <v>2150</v>
      </c>
      <c r="X42" s="850"/>
      <c r="Y42" s="1007"/>
      <c r="Z42" s="853" t="s">
        <v>2151</v>
      </c>
      <c r="AA42" s="853" t="s">
        <v>2151</v>
      </c>
      <c r="AB42" s="853" t="s">
        <v>2151</v>
      </c>
      <c r="AC42" s="853" t="s">
        <v>2151</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2152</v>
      </c>
      <c r="P43" s="964" t="s">
        <v>755</v>
      </c>
      <c r="Q43" s="964" t="s">
        <v>2152</v>
      </c>
      <c r="R43" s="964" t="s">
        <v>755</v>
      </c>
      <c r="S43" s="964"/>
      <c r="T43" s="850" t="s">
        <v>2153</v>
      </c>
      <c r="U43" s="850" t="s">
        <v>2153</v>
      </c>
      <c r="V43" s="850" t="s">
        <v>2153</v>
      </c>
      <c r="W43" s="850" t="s">
        <v>2153</v>
      </c>
      <c r="X43" s="850"/>
      <c r="Y43" s="1007"/>
      <c r="Z43" s="853" t="s">
        <v>2154</v>
      </c>
      <c r="AA43" s="853" t="s">
        <v>2154</v>
      </c>
      <c r="AB43" s="853" t="s">
        <v>2154</v>
      </c>
      <c r="AC43" s="853" t="s">
        <v>2154</v>
      </c>
      <c r="AD43" s="853"/>
    </row>
    <row customHeight="1" ht="27">
      <c r="A44" s="852"/>
      <c r="B44" s="906">
        <v>27</v>
      </c>
      <c r="C44" s="850" t="s">
        <v>2155</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2156</v>
      </c>
      <c r="P44" s="964" t="s">
        <v>758</v>
      </c>
      <c r="Q44" s="964" t="s">
        <v>2156</v>
      </c>
      <c r="R44" s="964" t="s">
        <v>758</v>
      </c>
      <c r="S44" s="964"/>
      <c r="T44" s="850" t="s">
        <v>2146</v>
      </c>
      <c r="U44" s="850" t="s">
        <v>2146</v>
      </c>
      <c r="V44" s="850" t="s">
        <v>2146</v>
      </c>
      <c r="W44" s="850" t="s">
        <v>2146</v>
      </c>
      <c r="X44" s="850"/>
      <c r="Y44" s="1007"/>
      <c r="Z44" s="853" t="s">
        <v>2157</v>
      </c>
      <c r="AA44" s="853" t="s">
        <v>2157</v>
      </c>
      <c r="AB44" s="853" t="s">
        <v>2157</v>
      </c>
      <c r="AC44" s="853" t="s">
        <v>2157</v>
      </c>
      <c r="AD44" s="853"/>
    </row>
    <row customHeight="1" ht="27">
      <c r="A45" s="852"/>
      <c r="B45" s="906">
        <v>28</v>
      </c>
      <c r="C45" s="850" t="s">
        <v>2158</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2159</v>
      </c>
      <c r="P45" s="964" t="s">
        <v>761</v>
      </c>
      <c r="Q45" s="964" t="s">
        <v>2159</v>
      </c>
      <c r="R45" s="964" t="s">
        <v>761</v>
      </c>
      <c r="S45" s="964"/>
      <c r="T45" s="850" t="s">
        <v>2150</v>
      </c>
      <c r="U45" s="850" t="s">
        <v>2150</v>
      </c>
      <c r="V45" s="850" t="s">
        <v>2150</v>
      </c>
      <c r="W45" s="850" t="s">
        <v>2150</v>
      </c>
      <c r="X45" s="850"/>
      <c r="Y45" s="1007"/>
      <c r="Z45" s="853" t="s">
        <v>2160</v>
      </c>
      <c r="AA45" s="853" t="s">
        <v>2160</v>
      </c>
      <c r="AB45" s="853" t="s">
        <v>2160</v>
      </c>
      <c r="AC45" s="853" t="s">
        <v>2160</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2161</v>
      </c>
      <c r="P46" s="964" t="s">
        <v>807</v>
      </c>
      <c r="Q46" s="964" t="s">
        <v>2161</v>
      </c>
      <c r="R46" s="964" t="s">
        <v>807</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2162</v>
      </c>
      <c r="V46" s="850" t="s">
        <v>2162</v>
      </c>
      <c r="W46" s="850" t="s">
        <v>2162</v>
      </c>
      <c r="X46" s="850"/>
      <c r="Y46" s="1007"/>
      <c r="Z46" s="853" t="s">
        <v>2163</v>
      </c>
      <c r="AA46" s="853" t="s">
        <v>2164</v>
      </c>
      <c r="AB46" s="853" t="s">
        <v>2164</v>
      </c>
      <c r="AC46" s="853" t="s">
        <v>2164</v>
      </c>
      <c r="AD46" s="853"/>
    </row>
    <row customHeight="1" ht="54">
      <c r="A47" s="852"/>
      <c r="B47" s="906">
        <v>30</v>
      </c>
      <c r="C47" s="850" t="s">
        <v>2165</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2166</v>
      </c>
      <c r="P47" s="964" t="s">
        <v>2145</v>
      </c>
      <c r="Q47" s="964" t="s">
        <v>2166</v>
      </c>
      <c r="R47" s="964" t="s">
        <v>2145</v>
      </c>
      <c r="S47" s="964"/>
      <c r="T47" s="850" t="s">
        <v>2167</v>
      </c>
      <c r="U47" s="850" t="s">
        <v>2167</v>
      </c>
      <c r="V47" s="850" t="s">
        <v>2167</v>
      </c>
      <c r="W47" s="850" t="s">
        <v>2167</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2152</v>
      </c>
      <c r="Q48" s="964" t="s">
        <v>2168</v>
      </c>
      <c r="R48" s="964" t="s">
        <v>2152</v>
      </c>
      <c r="S48" s="964"/>
      <c r="T48" s="850"/>
      <c r="U48" s="850" t="s">
        <v>2169</v>
      </c>
      <c r="V48" s="850" t="s">
        <v>2170</v>
      </c>
      <c r="W48" s="850" t="s">
        <v>2170</v>
      </c>
      <c r="X48" s="850"/>
      <c r="Y48" s="1007"/>
      <c r="Z48" s="853"/>
      <c r="AA48" s="856" t="s">
        <v>2164</v>
      </c>
      <c r="AB48" s="856" t="s">
        <v>2164</v>
      </c>
      <c r="AC48" s="856" t="s">
        <v>2164</v>
      </c>
      <c r="AD48" s="853"/>
    </row>
    <row customHeight="1" ht="54">
      <c r="A49" s="852"/>
      <c r="B49" s="906">
        <v>32</v>
      </c>
      <c r="C49" s="850" t="s">
        <v>2171</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2156</v>
      </c>
      <c r="Q49" s="964" t="s">
        <v>2172</v>
      </c>
      <c r="R49" s="964" t="s">
        <v>2156</v>
      </c>
      <c r="S49" s="964"/>
      <c r="T49" s="850"/>
      <c r="U49" s="850" t="s">
        <v>2167</v>
      </c>
      <c r="V49" s="850" t="s">
        <v>2167</v>
      </c>
      <c r="W49" s="850" t="s">
        <v>2167</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2168</v>
      </c>
      <c r="P50" s="964" t="s">
        <v>2161</v>
      </c>
      <c r="Q50" s="964" t="s">
        <v>2173</v>
      </c>
      <c r="R50" s="964" t="s">
        <v>2161</v>
      </c>
      <c r="S50" s="964"/>
      <c r="T50" s="850" t="s">
        <v>2174</v>
      </c>
      <c r="U50" s="850" t="s">
        <v>2175</v>
      </c>
      <c r="V50" s="850" t="s">
        <v>2176</v>
      </c>
      <c r="W50" s="850" t="s">
        <v>2177</v>
      </c>
      <c r="X50" s="850"/>
      <c r="Y50" s="1007"/>
      <c r="Z50" s="853" t="s">
        <v>2178</v>
      </c>
      <c r="AA50" s="856" t="s">
        <v>2179</v>
      </c>
      <c r="AB50" s="856" t="s">
        <v>2179</v>
      </c>
      <c r="AC50" s="856" t="s">
        <v>2179</v>
      </c>
      <c r="AD50" s="853"/>
    </row>
    <row customHeight="1" ht="27">
      <c r="A51" s="852"/>
      <c r="B51" s="906">
        <v>34</v>
      </c>
      <c r="C51" s="850" t="s">
        <v>2180</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90</v>
      </c>
      <c r="P51" s="964"/>
      <c r="Q51" s="964"/>
      <c r="R51" s="964"/>
      <c r="S51" s="964"/>
      <c r="T51" s="850" t="s">
        <v>2181</v>
      </c>
      <c r="U51" s="850"/>
      <c r="V51" s="850"/>
      <c r="W51" s="850"/>
      <c r="X51" s="850"/>
      <c r="Y51" s="1007"/>
      <c r="Z51" s="853"/>
      <c r="AA51" s="856"/>
      <c r="AB51" s="856"/>
      <c r="AC51" s="856"/>
      <c r="AD51" s="853"/>
    </row>
    <row customHeight="1" ht="36">
      <c r="A52" s="852"/>
      <c r="B52" s="906">
        <v>35</v>
      </c>
      <c r="C52" s="850" t="s">
        <v>2077</v>
      </c>
      <c r="D52" s="974" t="s">
        <v>2077</v>
      </c>
      <c r="E52" s="850" t="s">
        <v>2077</v>
      </c>
      <c r="F52" s="850" t="s">
        <v>2077</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водоотведения,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2182</v>
      </c>
      <c r="U52" s="850" t="s">
        <v>2183</v>
      </c>
      <c r="V52" s="850" t="s">
        <v>2184</v>
      </c>
      <c r="W52" s="850" t="s">
        <v>2185</v>
      </c>
      <c r="X52" s="850"/>
      <c r="Y52" s="1007"/>
      <c r="Z52" s="853" t="s">
        <v>765</v>
      </c>
      <c r="AA52" s="856" t="s">
        <v>765</v>
      </c>
      <c r="AB52" s="856" t="s">
        <v>765</v>
      </c>
      <c r="AC52" s="856" t="s">
        <v>765</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769</v>
      </c>
      <c r="P53" s="964" t="s">
        <v>323</v>
      </c>
      <c r="Q53" s="964" t="s">
        <v>323</v>
      </c>
      <c r="R53" s="964" t="s">
        <v>323</v>
      </c>
      <c r="S53" s="964"/>
      <c r="T53" s="850" t="s">
        <v>2186</v>
      </c>
      <c r="U53" s="850" t="s">
        <v>2186</v>
      </c>
      <c r="V53" s="850" t="s">
        <v>2186</v>
      </c>
      <c r="W53" s="850" t="s">
        <v>2186</v>
      </c>
      <c r="X53" s="850"/>
      <c r="Y53" s="1007"/>
      <c r="Z53" s="853"/>
      <c r="AA53" s="856"/>
      <c r="AB53" s="853"/>
      <c r="AC53" s="853"/>
      <c r="AD53" s="853"/>
    </row>
    <row customHeight="1" ht="18">
      <c r="A54" s="852"/>
      <c r="B54" s="906">
        <v>37</v>
      </c>
      <c r="C54" s="850" t="s">
        <v>2083</v>
      </c>
      <c r="D54" s="974" t="s">
        <v>2083</v>
      </c>
      <c r="E54" s="850" t="s">
        <v>2083</v>
      </c>
      <c r="F54" s="850" t="s">
        <v>2083</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91</v>
      </c>
      <c r="Q54" s="964" t="s">
        <v>91</v>
      </c>
      <c r="R54" s="964" t="s">
        <v>91</v>
      </c>
      <c r="S54" s="964"/>
      <c r="T54" s="850" t="s">
        <v>767</v>
      </c>
      <c r="U54" s="850" t="s">
        <v>767</v>
      </c>
      <c r="V54" s="850" t="s">
        <v>767</v>
      </c>
      <c r="W54" s="850" t="s">
        <v>767</v>
      </c>
      <c r="X54" s="850"/>
      <c r="Y54" s="1007"/>
      <c r="Z54" s="853" t="s">
        <v>768</v>
      </c>
      <c r="AA54" s="853" t="s">
        <v>768</v>
      </c>
      <c r="AB54" s="853" t="s">
        <v>768</v>
      </c>
      <c r="AC54" s="853" t="s">
        <v>768</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312</v>
      </c>
      <c r="P55" s="964" t="s">
        <v>769</v>
      </c>
      <c r="Q55" s="964" t="s">
        <v>769</v>
      </c>
      <c r="R55" s="964" t="s">
        <v>769</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2187</v>
      </c>
      <c r="V55" s="850" t="s">
        <v>2187</v>
      </c>
      <c r="W55" s="850" t="s">
        <v>2187</v>
      </c>
      <c r="X55" s="850"/>
      <c r="Y55" s="1007"/>
      <c r="Z55" s="853" t="s">
        <v>2188</v>
      </c>
      <c r="AA55" s="853" t="s">
        <v>2188</v>
      </c>
      <c r="AB55" s="853" t="s">
        <v>2188</v>
      </c>
      <c r="AC55" s="853" t="s">
        <v>2188</v>
      </c>
      <c r="AD55" s="853"/>
    </row>
    <row customHeight="1" ht="27">
      <c r="A56" s="852"/>
      <c r="B56" s="906">
        <v>39</v>
      </c>
      <c r="C56" s="850" t="s">
        <v>1069</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1190</v>
      </c>
      <c r="P56" s="964" t="s">
        <v>772</v>
      </c>
      <c r="Q56" s="964" t="s">
        <v>772</v>
      </c>
      <c r="R56" s="964" t="s">
        <v>772</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2189</v>
      </c>
      <c r="V56" s="850" t="s">
        <v>2189</v>
      </c>
      <c r="W56" s="850" t="s">
        <v>2189</v>
      </c>
      <c r="X56" s="850"/>
      <c r="Y56" s="1007"/>
      <c r="Z56" s="853" t="s">
        <v>774</v>
      </c>
      <c r="AA56" s="853" t="s">
        <v>774</v>
      </c>
      <c r="AB56" s="853" t="s">
        <v>774</v>
      </c>
      <c r="AC56" s="853" t="s">
        <v>774</v>
      </c>
      <c r="AD56" s="853"/>
    </row>
    <row customHeight="1" ht="27">
      <c r="A57" s="852"/>
      <c r="B57" s="906">
        <v>40</v>
      </c>
      <c r="C57" s="850" t="s">
        <v>1071</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2190</v>
      </c>
      <c r="P57" s="964" t="s">
        <v>775</v>
      </c>
      <c r="Q57" s="964" t="s">
        <v>775</v>
      </c>
      <c r="R57" s="964" t="s">
        <v>775</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2191</v>
      </c>
      <c r="V57" s="850" t="s">
        <v>2191</v>
      </c>
      <c r="W57" s="850" t="s">
        <v>2191</v>
      </c>
      <c r="X57" s="850"/>
      <c r="Y57" s="1007"/>
      <c r="Z57" s="853" t="s">
        <v>777</v>
      </c>
      <c r="AA57" s="853" t="s">
        <v>777</v>
      </c>
      <c r="AB57" s="853" t="s">
        <v>777</v>
      </c>
      <c r="AC57" s="853" t="s">
        <v>777</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909</v>
      </c>
      <c r="P58" s="964" t="s">
        <v>813</v>
      </c>
      <c r="Q58" s="964" t="s">
        <v>813</v>
      </c>
      <c r="R58" s="964" t="s">
        <v>813</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2192</v>
      </c>
      <c r="V58" s="850" t="s">
        <v>2192</v>
      </c>
      <c r="W58" s="850" t="s">
        <v>2192</v>
      </c>
      <c r="X58" s="850"/>
      <c r="Y58" s="1007"/>
      <c r="Z58" s="853"/>
      <c r="AA58" s="856"/>
      <c r="AB58" s="853"/>
      <c r="AC58" s="853"/>
      <c r="AD58" s="853"/>
    </row>
    <row customHeight="1" ht="36">
      <c r="A59" s="852"/>
      <c r="B59" s="906">
        <v>42</v>
      </c>
      <c r="C59" s="850">
        <v>3</v>
      </c>
      <c r="D59" s="974" t="s">
        <v>2180</v>
      </c>
      <c r="E59" s="850" t="s">
        <v>2180</v>
      </c>
      <c r="F59" s="850" t="s">
        <v>2180</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водоотведения</v>
      </c>
      <c r="N59" s="851" t="str">
        <f>IF(K59=0,"",K59)</f>
        <v/>
      </c>
      <c r="O59" s="964"/>
      <c r="P59" s="964" t="s">
        <v>111</v>
      </c>
      <c r="Q59" s="964" t="s">
        <v>111</v>
      </c>
      <c r="R59" s="964" t="s">
        <v>111</v>
      </c>
      <c r="S59" s="964"/>
      <c r="T59" s="850"/>
      <c r="U59" s="850" t="s">
        <v>2193</v>
      </c>
      <c r="V59" s="850" t="s">
        <v>2194</v>
      </c>
      <c r="W59" s="850" t="s">
        <v>2195</v>
      </c>
      <c r="X59" s="850"/>
      <c r="Y59" s="1007"/>
      <c r="Z59" s="853"/>
      <c r="AA59" s="856"/>
      <c r="AB59" s="853"/>
      <c r="AC59" s="853"/>
      <c r="AD59" s="853"/>
    </row>
    <row customHeight="1" ht="81">
      <c r="A60" s="852"/>
      <c r="B60" s="906">
        <v>43</v>
      </c>
      <c r="C60" s="850" t="s">
        <v>2196</v>
      </c>
      <c r="D60" s="974" t="s">
        <v>2196</v>
      </c>
      <c r="E60" s="850" t="s">
        <v>2196</v>
      </c>
      <c r="F60" s="850" t="s">
        <v>2196</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92</v>
      </c>
      <c r="P60" s="964" t="s">
        <v>92</v>
      </c>
      <c r="Q60" s="964" t="s">
        <v>92</v>
      </c>
      <c r="R60" s="964" t="s">
        <v>92</v>
      </c>
      <c r="S60" s="964"/>
      <c r="T60" s="850" t="s">
        <v>639</v>
      </c>
      <c r="U60" s="850" t="s">
        <v>639</v>
      </c>
      <c r="V60" s="850" t="s">
        <v>639</v>
      </c>
      <c r="W60" s="850" t="s">
        <v>639</v>
      </c>
      <c r="X60" s="850"/>
      <c r="Y60" s="1007"/>
      <c r="Z60" s="853" t="s">
        <v>2197</v>
      </c>
      <c r="AA60" s="856" t="s">
        <v>2198</v>
      </c>
      <c r="AB60" s="853" t="s">
        <v>2199</v>
      </c>
      <c r="AC60" s="853" t="s">
        <v>2198</v>
      </c>
      <c r="AD60" s="853"/>
    </row>
    <row customHeight="1" ht="9">
      <c r="A61" s="852"/>
      <c r="B61" s="906">
        <v>44</v>
      </c>
      <c r="C61" s="850"/>
      <c r="D61" s="974" t="s">
        <v>2200</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2201</v>
      </c>
      <c r="V61" s="850"/>
      <c r="W61" s="850"/>
      <c r="X61" s="850"/>
      <c r="Y61" s="1007"/>
      <c r="Z61" s="853"/>
      <c r="AA61" s="856"/>
      <c r="AB61" s="853"/>
      <c r="AC61" s="853"/>
      <c r="AD61" s="853"/>
    </row>
    <row customHeight="1" ht="9">
      <c r="A62" s="852"/>
      <c r="B62" s="906">
        <v>45</v>
      </c>
      <c r="C62" s="850"/>
      <c r="D62" s="974" t="s">
        <v>2202</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112</v>
      </c>
      <c r="Q62" s="964"/>
      <c r="R62" s="964"/>
      <c r="S62" s="964"/>
      <c r="T62" s="850"/>
      <c r="U62" s="850" t="s">
        <v>2203</v>
      </c>
      <c r="V62" s="850"/>
      <c r="W62" s="850"/>
      <c r="X62" s="850"/>
      <c r="Y62" s="1007"/>
      <c r="Z62" s="853"/>
      <c r="AA62" s="856"/>
      <c r="AB62" s="853"/>
      <c r="AC62" s="853"/>
      <c r="AD62" s="853"/>
    </row>
    <row customHeight="1" ht="18">
      <c r="A63" s="852"/>
      <c r="B63" s="906">
        <v>46</v>
      </c>
      <c r="C63" s="850"/>
      <c r="D63" s="974" t="s">
        <v>2204</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149</v>
      </c>
      <c r="Q63" s="964"/>
      <c r="R63" s="964"/>
      <c r="S63" s="964"/>
      <c r="T63" s="850"/>
      <c r="U63" s="850" t="s">
        <v>2205</v>
      </c>
      <c r="V63" s="850"/>
      <c r="W63" s="850"/>
      <c r="X63" s="850"/>
      <c r="Y63" s="1007"/>
      <c r="Z63" s="853"/>
      <c r="AA63" s="856"/>
      <c r="AB63" s="853"/>
      <c r="AC63" s="853"/>
      <c r="AD63" s="853"/>
    </row>
    <row customHeight="1" ht="18">
      <c r="A64" s="852"/>
      <c r="B64" s="906">
        <v>47</v>
      </c>
      <c r="C64" s="850"/>
      <c r="D64" s="974" t="s">
        <v>2206</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150</v>
      </c>
      <c r="Q64" s="964"/>
      <c r="R64" s="964"/>
      <c r="S64" s="964"/>
      <c r="T64" s="850"/>
      <c r="U64" s="850" t="s">
        <v>2207</v>
      </c>
      <c r="V64" s="850"/>
      <c r="W64" s="850"/>
      <c r="X64" s="850"/>
      <c r="Y64" s="1007"/>
      <c r="Z64" s="853"/>
      <c r="AA64" s="856" t="s">
        <v>2208</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2124</v>
      </c>
      <c r="Q65" s="964"/>
      <c r="R65" s="964"/>
      <c r="S65" s="964"/>
      <c r="T65" s="850"/>
      <c r="U65" s="850" t="s">
        <v>2209</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2128</v>
      </c>
      <c r="Q66" s="964"/>
      <c r="R66" s="964"/>
      <c r="S66" s="964"/>
      <c r="T66" s="850"/>
      <c r="U66" s="850" t="s">
        <v>2210</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2211</v>
      </c>
      <c r="Q67" s="964"/>
      <c r="R67" s="964"/>
      <c r="S67" s="964"/>
      <c r="T67" s="850"/>
      <c r="U67" s="850" t="s">
        <v>2212</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2213</v>
      </c>
      <c r="Q68" s="964"/>
      <c r="R68" s="964"/>
      <c r="S68" s="964"/>
      <c r="T68" s="850"/>
      <c r="U68" s="850" t="s">
        <v>2214</v>
      </c>
      <c r="V68" s="850"/>
      <c r="W68" s="850"/>
      <c r="X68" s="850"/>
      <c r="Y68" s="1007"/>
      <c r="Z68" s="853"/>
      <c r="AA68" s="856"/>
      <c r="AB68" s="853"/>
      <c r="AC68" s="853"/>
      <c r="AD68" s="853"/>
    </row>
    <row customHeight="1" ht="9">
      <c r="A69" s="852"/>
      <c r="B69" s="906">
        <v>52</v>
      </c>
      <c r="C69" s="850"/>
      <c r="D69" s="974" t="s">
        <v>2215</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151</v>
      </c>
      <c r="Q69" s="964"/>
      <c r="R69" s="964"/>
      <c r="S69" s="964"/>
      <c r="T69" s="850"/>
      <c r="U69" s="850" t="s">
        <v>2216</v>
      </c>
      <c r="V69" s="850"/>
      <c r="W69" s="850"/>
      <c r="X69" s="850"/>
      <c r="Y69" s="1007"/>
      <c r="Z69" s="853"/>
      <c r="AA69" s="856"/>
      <c r="AB69" s="853"/>
      <c r="AC69" s="853"/>
      <c r="AD69" s="853"/>
    </row>
    <row customHeight="1" ht="27">
      <c r="A70" s="852"/>
      <c r="B70" s="906">
        <v>53</v>
      </c>
      <c r="C70" s="850"/>
      <c r="D70" s="974"/>
      <c r="E70" s="850" t="s">
        <v>2200</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2217</v>
      </c>
      <c r="W70" s="850"/>
      <c r="X70" s="850"/>
      <c r="Y70" s="1007"/>
      <c r="Z70" s="853"/>
      <c r="AA70" s="856"/>
      <c r="AB70" s="853"/>
      <c r="AC70" s="853"/>
      <c r="AD70" s="853"/>
    </row>
    <row customHeight="1" ht="36">
      <c r="A71" s="852"/>
      <c r="B71" s="906">
        <v>54</v>
      </c>
      <c r="C71" s="850"/>
      <c r="D71" s="974"/>
      <c r="E71" s="850" t="s">
        <v>2202</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112</v>
      </c>
      <c r="R71" s="964"/>
      <c r="S71" s="964"/>
      <c r="T71" s="850"/>
      <c r="U71" s="850"/>
      <c r="V71" s="850" t="s">
        <v>2218</v>
      </c>
      <c r="W71" s="850"/>
      <c r="X71" s="850"/>
      <c r="Y71" s="1007"/>
      <c r="Z71" s="853"/>
      <c r="AA71" s="856"/>
      <c r="AB71" s="853"/>
      <c r="AC71" s="853"/>
      <c r="AD71" s="853"/>
    </row>
    <row customHeight="1" ht="27">
      <c r="A72" s="852"/>
      <c r="B72" s="906">
        <v>55</v>
      </c>
      <c r="C72" s="850"/>
      <c r="D72" s="974"/>
      <c r="E72" s="850" t="s">
        <v>2204</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2219</v>
      </c>
      <c r="W72" s="850"/>
      <c r="X72" s="850"/>
      <c r="Y72" s="1007"/>
      <c r="Z72" s="853"/>
      <c r="AA72" s="856"/>
      <c r="AB72" s="853"/>
      <c r="AC72" s="853"/>
      <c r="AD72" s="853"/>
    </row>
    <row customHeight="1" ht="36">
      <c r="A73" s="852"/>
      <c r="B73" s="906">
        <v>56</v>
      </c>
      <c r="C73" s="850"/>
      <c r="D73" s="974"/>
      <c r="E73" s="850" t="s">
        <v>2206</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2220</v>
      </c>
      <c r="W73" s="850"/>
      <c r="X73" s="850"/>
      <c r="Y73" s="1007"/>
      <c r="Z73" s="853"/>
      <c r="AA73" s="856"/>
      <c r="AB73" s="853"/>
      <c r="AC73" s="853"/>
      <c r="AD73" s="853"/>
    </row>
    <row customHeight="1" ht="18">
      <c r="A74" s="852"/>
      <c r="B74" s="906">
        <v>57</v>
      </c>
      <c r="C74" s="850"/>
      <c r="D74" s="974"/>
      <c r="E74" s="850" t="s">
        <v>2215</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2221</v>
      </c>
      <c r="W74" s="850"/>
      <c r="X74" s="850"/>
      <c r="Y74" s="1007"/>
      <c r="Z74" s="853"/>
      <c r="AA74" s="856"/>
      <c r="AB74" s="853"/>
      <c r="AC74" s="853"/>
      <c r="AD74" s="853"/>
    </row>
    <row customHeight="1" ht="18">
      <c r="A75" s="852"/>
      <c r="B75" s="906">
        <v>58</v>
      </c>
      <c r="C75" s="850"/>
      <c r="D75" s="974"/>
      <c r="E75" s="850"/>
      <c r="F75" s="850" t="s">
        <v>2200</v>
      </c>
      <c r="G75" s="850"/>
      <c r="H75" s="898"/>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1" t="str">
        <f>IF(I75=0,"",I75)</f>
        <v>7</v>
      </c>
      <c r="M75" s="851" t="str">
        <f>IF(J75=0,"",J75)</f>
        <v>Объём сточных вод, принятых от потребителей</v>
      </c>
      <c r="N75" s="851" t="str">
        <f>IF(K75=0,"",K75)</f>
        <v/>
      </c>
      <c r="O75" s="964"/>
      <c r="P75" s="964"/>
      <c r="Q75" s="964"/>
      <c r="R75" s="964" t="s">
        <v>93</v>
      </c>
      <c r="S75" s="964"/>
      <c r="T75" s="850"/>
      <c r="U75" s="850"/>
      <c r="V75" s="850"/>
      <c r="W75" s="850" t="s">
        <v>2222</v>
      </c>
      <c r="X75" s="850"/>
      <c r="Y75" s="1007"/>
      <c r="Z75" s="853"/>
      <c r="AA75" s="856"/>
      <c r="AB75" s="853"/>
      <c r="AC75" s="853"/>
      <c r="AD75" s="853"/>
    </row>
    <row customHeight="1" ht="36">
      <c r="A76" s="852"/>
      <c r="B76" s="906">
        <v>59</v>
      </c>
      <c r="C76" s="850"/>
      <c r="D76" s="974"/>
      <c r="E76" s="850"/>
      <c r="F76" s="850" t="s">
        <v>2202</v>
      </c>
      <c r="G76" s="850"/>
      <c r="H76" s="898"/>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1" t="str">
        <f>IF(I76=0,"",I76)</f>
        <v>8</v>
      </c>
      <c r="M76" s="851" t="str">
        <f>IF(J76=0,"",J76)</f>
        <v>Объём сточных вод, принятых от других регулируемых организаций, осуществляющих водоотведение и (или) очистку сточных вод</v>
      </c>
      <c r="N76" s="851" t="str">
        <f>IF(K76=0,"",K76)</f>
        <v/>
      </c>
      <c r="O76" s="964"/>
      <c r="P76" s="964"/>
      <c r="Q76" s="964"/>
      <c r="R76" s="964" t="s">
        <v>112</v>
      </c>
      <c r="S76" s="964"/>
      <c r="T76" s="850"/>
      <c r="U76" s="850"/>
      <c r="V76" s="850"/>
      <c r="W76" s="850" t="s">
        <v>2223</v>
      </c>
      <c r="X76" s="850"/>
      <c r="Y76" s="1007"/>
      <c r="Z76" s="853"/>
      <c r="AA76" s="856"/>
      <c r="AB76" s="853"/>
      <c r="AC76" s="853"/>
      <c r="AD76" s="853"/>
    </row>
    <row customHeight="1" ht="18">
      <c r="A77" s="852"/>
      <c r="B77" s="906">
        <v>60</v>
      </c>
      <c r="C77" s="850"/>
      <c r="D77" s="974"/>
      <c r="E77" s="850"/>
      <c r="F77" s="850" t="s">
        <v>2204</v>
      </c>
      <c r="G77" s="850"/>
      <c r="H77" s="898"/>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1" t="str">
        <f>IF(I77=0,"",I77)</f>
        <v>9</v>
      </c>
      <c r="M77" s="851" t="str">
        <f>IF(J77=0,"",J77)</f>
        <v>Объём сточных вод, пропущенных через очистные сооружения</v>
      </c>
      <c r="N77" s="851" t="str">
        <f>IF(K77=0,"",K77)</f>
        <v/>
      </c>
      <c r="O77" s="964"/>
      <c r="P77" s="964"/>
      <c r="Q77" s="964"/>
      <c r="R77" s="964" t="s">
        <v>149</v>
      </c>
      <c r="S77" s="964"/>
      <c r="T77" s="850"/>
      <c r="U77" s="850"/>
      <c r="V77" s="850"/>
      <c r="W77" s="850" t="s">
        <v>2224</v>
      </c>
      <c r="X77" s="850"/>
      <c r="Y77" s="1007"/>
      <c r="Z77" s="853"/>
      <c r="AA77" s="856"/>
      <c r="AB77" s="853"/>
      <c r="AC77" s="853"/>
      <c r="AD77" s="853"/>
    </row>
    <row customHeight="1" ht="72">
      <c r="A78" s="852"/>
      <c r="B78" s="906">
        <v>61</v>
      </c>
      <c r="C78" s="850" t="s">
        <v>2200</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93</v>
      </c>
      <c r="P78" s="964"/>
      <c r="Q78" s="964"/>
      <c r="R78" s="964"/>
      <c r="S78" s="964"/>
      <c r="T78" s="850" t="s">
        <v>644</v>
      </c>
      <c r="U78" s="850"/>
      <c r="V78" s="850"/>
      <c r="W78" s="850"/>
      <c r="X78" s="850"/>
      <c r="Y78" s="1007"/>
      <c r="Z78" s="853" t="s">
        <v>2225</v>
      </c>
      <c r="AA78" s="856"/>
      <c r="AB78" s="853"/>
      <c r="AC78" s="853"/>
      <c r="AD78" s="853"/>
    </row>
    <row customHeight="1" ht="36">
      <c r="A79" s="852"/>
      <c r="B79" s="906">
        <v>62</v>
      </c>
      <c r="C79" s="850" t="s">
        <v>2202</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112</v>
      </c>
      <c r="P79" s="964"/>
      <c r="Q79" s="964"/>
      <c r="R79" s="964"/>
      <c r="S79" s="964"/>
      <c r="T79" s="850" t="s">
        <v>2226</v>
      </c>
      <c r="U79" s="850"/>
      <c r="V79" s="850"/>
      <c r="W79" s="850"/>
      <c r="X79" s="850"/>
      <c r="Y79" s="1007"/>
      <c r="Z79" s="853" t="s">
        <v>2227</v>
      </c>
      <c r="AA79" s="856"/>
      <c r="AB79" s="853"/>
      <c r="AC79" s="853"/>
      <c r="AD79" s="853"/>
    </row>
    <row customHeight="1" ht="45">
      <c r="A80" s="852"/>
      <c r="B80" s="906">
        <v>63</v>
      </c>
      <c r="C80" s="850" t="s">
        <v>2204</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149</v>
      </c>
      <c r="P80" s="964"/>
      <c r="Q80" s="964"/>
      <c r="R80" s="964"/>
      <c r="S80" s="964"/>
      <c r="T80" s="850" t="s">
        <v>2228</v>
      </c>
      <c r="U80" s="850"/>
      <c r="V80" s="850"/>
      <c r="W80" s="850"/>
      <c r="X80" s="850"/>
      <c r="Y80" s="1007"/>
      <c r="Z80" s="853" t="s">
        <v>2229</v>
      </c>
      <c r="AA80" s="856"/>
      <c r="AB80" s="853"/>
      <c r="AC80" s="853"/>
      <c r="AD80" s="853"/>
    </row>
    <row customHeight="1" ht="36">
      <c r="A81" s="852"/>
      <c r="B81" s="906">
        <v>64</v>
      </c>
      <c r="C81" s="850" t="s">
        <v>2206</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2115</v>
      </c>
      <c r="P81" s="964"/>
      <c r="Q81" s="964"/>
      <c r="R81" s="964"/>
      <c r="S81" s="964"/>
      <c r="T81" s="850" t="s">
        <v>2230</v>
      </c>
      <c r="U81" s="850"/>
      <c r="V81" s="850"/>
      <c r="W81" s="850"/>
      <c r="X81" s="850"/>
      <c r="Y81" s="1007"/>
      <c r="Z81" s="853" t="s">
        <v>2231</v>
      </c>
      <c r="AA81" s="856"/>
      <c r="AB81" s="853"/>
      <c r="AC81" s="853"/>
      <c r="AD81" s="853"/>
    </row>
    <row customHeight="1" ht="90">
      <c r="A82" s="852"/>
      <c r="B82" s="906">
        <v>65</v>
      </c>
      <c r="C82" s="850" t="s">
        <v>2215</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150</v>
      </c>
      <c r="P82" s="964"/>
      <c r="Q82" s="964"/>
      <c r="R82" s="964"/>
      <c r="S82" s="964"/>
      <c r="T82" s="850" t="s">
        <v>2232</v>
      </c>
      <c r="U82" s="850"/>
      <c r="V82" s="850"/>
      <c r="W82" s="850"/>
      <c r="X82" s="850"/>
      <c r="Y82" s="1007"/>
      <c r="Z82" s="853" t="s">
        <v>2233</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2124</v>
      </c>
      <c r="P83" s="964"/>
      <c r="Q83" s="964"/>
      <c r="R83" s="964"/>
      <c r="S83" s="964"/>
      <c r="T83" s="850" t="s">
        <v>2234</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2235</v>
      </c>
      <c r="P84" s="964"/>
      <c r="Q84" s="964"/>
      <c r="R84" s="964"/>
      <c r="S84" s="964"/>
      <c r="T84" s="850" t="s">
        <v>2236</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2128</v>
      </c>
      <c r="P85" s="964"/>
      <c r="Q85" s="964"/>
      <c r="R85" s="964"/>
      <c r="S85" s="964"/>
      <c r="T85" s="850" t="s">
        <v>2237</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2238</v>
      </c>
      <c r="P86" s="964"/>
      <c r="Q86" s="964"/>
      <c r="R86" s="964"/>
      <c r="S86" s="964"/>
      <c r="T86" s="850" t="s">
        <v>2239</v>
      </c>
      <c r="U86" s="850"/>
      <c r="V86" s="850"/>
      <c r="W86" s="850"/>
      <c r="X86" s="850"/>
      <c r="Y86" s="1007"/>
      <c r="Z86" s="853"/>
      <c r="AA86" s="856"/>
      <c r="AB86" s="853"/>
      <c r="AC86" s="853"/>
      <c r="AD86" s="853"/>
    </row>
    <row customHeight="1" ht="36">
      <c r="A87" s="852"/>
      <c r="B87" s="906">
        <v>70</v>
      </c>
      <c r="C87" s="850" t="s">
        <v>2240</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151</v>
      </c>
      <c r="P87" s="964"/>
      <c r="Q87" s="964"/>
      <c r="R87" s="964"/>
      <c r="S87" s="964"/>
      <c r="T87" s="850" t="s">
        <v>2241</v>
      </c>
      <c r="U87" s="850"/>
      <c r="V87" s="850"/>
      <c r="W87" s="850"/>
      <c r="X87" s="850"/>
      <c r="Y87" s="1007"/>
      <c r="Z87" s="853"/>
      <c r="AA87" s="856"/>
      <c r="AB87" s="853"/>
      <c r="AC87" s="853"/>
      <c r="AD87" s="853"/>
    </row>
    <row customHeight="1" ht="18">
      <c r="A88" s="852"/>
      <c r="B88" s="906">
        <v>71</v>
      </c>
      <c r="C88" s="850" t="s">
        <v>2242</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152</v>
      </c>
      <c r="P88" s="964"/>
      <c r="Q88" s="964"/>
      <c r="R88" s="964"/>
      <c r="S88" s="964"/>
      <c r="T88" s="850" t="s">
        <v>676</v>
      </c>
      <c r="U88" s="850"/>
      <c r="V88" s="850"/>
      <c r="W88" s="850"/>
      <c r="X88" s="850"/>
      <c r="Y88" s="1007"/>
      <c r="Z88" s="853"/>
      <c r="AA88" s="856"/>
      <c r="AB88" s="853"/>
      <c r="AC88" s="853"/>
      <c r="AD88" s="853"/>
    </row>
    <row customHeight="1" ht="18">
      <c r="A89" s="852"/>
      <c r="B89" s="906">
        <v>72</v>
      </c>
      <c r="C89" s="850" t="s">
        <v>2243</v>
      </c>
      <c r="D89" s="974" t="s">
        <v>2240</v>
      </c>
      <c r="E89" s="850" t="s">
        <v>2240</v>
      </c>
      <c r="F89" s="850" t="s">
        <v>2206</v>
      </c>
      <c r="G89" s="850"/>
      <c r="H89" s="898"/>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10</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684</v>
      </c>
      <c r="U89" s="850" t="s">
        <v>684</v>
      </c>
      <c r="V89" s="850" t="s">
        <v>684</v>
      </c>
      <c r="W89" s="850" t="s">
        <v>684</v>
      </c>
      <c r="X89" s="850"/>
      <c r="Y89" s="1007"/>
      <c r="Z89" s="853"/>
      <c r="AA89" s="856"/>
      <c r="AB89" s="853"/>
      <c r="AC89" s="853"/>
      <c r="AD89" s="853"/>
    </row>
    <row customHeight="1" ht="27">
      <c r="A90" s="852"/>
      <c r="B90" s="906">
        <v>73</v>
      </c>
      <c r="C90" s="850" t="s">
        <v>2244</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154</v>
      </c>
      <c r="P90" s="964"/>
      <c r="Q90" s="964"/>
      <c r="R90" s="964"/>
      <c r="S90" s="964"/>
      <c r="T90" s="850" t="s">
        <v>686</v>
      </c>
      <c r="U90" s="850"/>
      <c r="V90" s="850"/>
      <c r="W90" s="850"/>
      <c r="X90" s="850"/>
      <c r="Y90" s="1007"/>
      <c r="Z90" s="853"/>
      <c r="AA90" s="856"/>
      <c r="AB90" s="853"/>
      <c r="AC90" s="853"/>
      <c r="AD90" s="853"/>
    </row>
    <row customHeight="1" ht="18">
      <c r="A91" s="852"/>
      <c r="B91" s="906">
        <v>74</v>
      </c>
      <c r="C91" s="850"/>
      <c r="D91" s="974" t="s">
        <v>2242</v>
      </c>
      <c r="E91" s="850" t="s">
        <v>2242</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153</v>
      </c>
      <c r="Q91" s="964" t="s">
        <v>153</v>
      </c>
      <c r="R91" s="964"/>
      <c r="S91" s="964"/>
      <c r="T91" s="850"/>
      <c r="U91" s="850" t="s">
        <v>2245</v>
      </c>
      <c r="V91" s="850" t="s">
        <v>2245</v>
      </c>
      <c r="W91" s="850"/>
      <c r="X91" s="850"/>
      <c r="Y91" s="1007"/>
      <c r="Z91" s="853"/>
      <c r="AA91" s="856"/>
      <c r="AB91" s="853"/>
      <c r="AC91" s="853"/>
      <c r="AD91" s="853"/>
    </row>
    <row customHeight="1" ht="27">
      <c r="A92" s="852"/>
      <c r="B92" s="906">
        <v>75</v>
      </c>
      <c r="C92" s="850"/>
      <c r="D92" s="974" t="s">
        <v>2243</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154</v>
      </c>
      <c r="Q92" s="964"/>
      <c r="R92" s="964"/>
      <c r="S92" s="964"/>
      <c r="T92" s="850"/>
      <c r="U92" s="850" t="s">
        <v>2246</v>
      </c>
      <c r="V92" s="850"/>
      <c r="W92" s="850"/>
      <c r="X92" s="850"/>
      <c r="Y92" s="1007"/>
      <c r="Z92" s="853"/>
      <c r="AA92" s="856" t="s">
        <v>2247</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2155</v>
      </c>
      <c r="Q93" s="964"/>
      <c r="R93" s="964"/>
      <c r="S93" s="964"/>
      <c r="T93" s="850"/>
      <c r="U93" s="850" t="s">
        <v>2248</v>
      </c>
      <c r="V93" s="850"/>
      <c r="W93" s="850"/>
      <c r="X93" s="850"/>
      <c r="Y93" s="1007"/>
      <c r="Z93" s="853"/>
      <c r="AA93" s="856" t="s">
        <v>2249</v>
      </c>
      <c r="AB93" s="853"/>
      <c r="AC93" s="853"/>
      <c r="AD93" s="853"/>
    </row>
    <row customHeight="1" ht="45">
      <c r="A94" s="852"/>
      <c r="B94" s="906">
        <v>77</v>
      </c>
      <c r="C94" s="850"/>
      <c r="D94" s="974" t="s">
        <v>2244</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1517</v>
      </c>
      <c r="Q94" s="964"/>
      <c r="R94" s="964"/>
      <c r="S94" s="964"/>
      <c r="T94" s="850"/>
      <c r="U94" s="850" t="s">
        <v>2250</v>
      </c>
      <c r="V94" s="850"/>
      <c r="W94" s="850"/>
      <c r="X94" s="850"/>
      <c r="Y94" s="1007"/>
      <c r="Z94" s="853"/>
      <c r="AA94" s="856" t="s">
        <v>2251</v>
      </c>
      <c r="AB94" s="853"/>
      <c r="AC94" s="853"/>
      <c r="AD94" s="853"/>
    </row>
    <row customHeight="1" ht="99">
      <c r="A95" s="852"/>
      <c r="B95" s="906">
        <v>78</v>
      </c>
      <c r="C95" s="850" t="s">
        <v>2252</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1517</v>
      </c>
      <c r="P95" s="964"/>
      <c r="Q95" s="964"/>
      <c r="R95" s="964"/>
      <c r="S95" s="964"/>
      <c r="T95" s="850" t="s">
        <v>2253</v>
      </c>
      <c r="U95" s="850"/>
      <c r="V95" s="850"/>
      <c r="W95" s="850"/>
      <c r="X95" s="850"/>
      <c r="Y95" s="1007"/>
      <c r="Z95" s="853"/>
      <c r="AA95" s="856"/>
      <c r="AB95" s="853"/>
      <c r="AC95" s="853"/>
      <c r="AD95" s="853"/>
    </row>
    <row customHeight="1" ht="99">
      <c r="A96" s="852"/>
      <c r="B96" s="906">
        <v>79</v>
      </c>
      <c r="C96" s="850" t="s">
        <v>1199</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1523</v>
      </c>
      <c r="P96" s="964"/>
      <c r="Q96" s="964"/>
      <c r="R96" s="964"/>
      <c r="S96" s="964"/>
      <c r="T96" s="850" t="s">
        <v>2254</v>
      </c>
      <c r="U96" s="850"/>
      <c r="V96" s="850"/>
      <c r="W96" s="850"/>
      <c r="X96" s="850"/>
      <c r="Y96" s="1007"/>
      <c r="Z96" s="853" t="s">
        <v>2255</v>
      </c>
      <c r="AA96" s="856"/>
      <c r="AB96" s="853"/>
      <c r="AC96" s="853"/>
      <c r="AD96" s="853"/>
    </row>
    <row customHeight="1" ht="63">
      <c r="A97" s="852"/>
      <c r="B97" s="906">
        <v>80</v>
      </c>
      <c r="C97" s="850" t="s">
        <v>2256</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1535</v>
      </c>
      <c r="P97" s="964"/>
      <c r="Q97" s="964"/>
      <c r="R97" s="964"/>
      <c r="S97" s="964"/>
      <c r="T97" s="850" t="s">
        <v>2257</v>
      </c>
      <c r="U97" s="850"/>
      <c r="V97" s="850"/>
      <c r="W97" s="850"/>
      <c r="X97" s="850"/>
      <c r="Y97" s="1007"/>
      <c r="Z97" s="853" t="s">
        <v>2258</v>
      </c>
      <c r="AA97" s="856"/>
      <c r="AB97" s="853"/>
      <c r="AC97" s="853"/>
      <c r="AD97" s="853"/>
    </row>
    <row customHeight="1" ht="63">
      <c r="A98" s="852"/>
      <c r="B98" s="906">
        <v>81</v>
      </c>
      <c r="C98" s="850" t="s">
        <v>2259</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1549</v>
      </c>
      <c r="P98" s="964"/>
      <c r="Q98" s="964"/>
      <c r="R98" s="964"/>
      <c r="S98" s="964"/>
      <c r="T98" s="850" t="s">
        <v>2260</v>
      </c>
      <c r="U98" s="850"/>
      <c r="V98" s="850"/>
      <c r="W98" s="850"/>
      <c r="X98" s="850"/>
      <c r="Y98" s="1007"/>
      <c r="Z98" s="853" t="s">
        <v>2258</v>
      </c>
      <c r="AA98" s="856"/>
      <c r="AB98" s="853"/>
      <c r="AC98" s="853"/>
      <c r="AD98" s="853"/>
    </row>
    <row customHeight="1" ht="90">
      <c r="A99" s="852"/>
      <c r="B99" s="906">
        <v>82</v>
      </c>
      <c r="C99" s="850" t="s">
        <v>2261</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1561</v>
      </c>
      <c r="P99" s="964"/>
      <c r="Q99" s="964"/>
      <c r="R99" s="964"/>
      <c r="S99" s="964"/>
      <c r="T99" s="850" t="s">
        <v>2262</v>
      </c>
      <c r="U99" s="850"/>
      <c r="V99" s="850"/>
      <c r="W99" s="850"/>
      <c r="X99" s="850"/>
      <c r="Y99" s="1007"/>
      <c r="Z99" s="853" t="s">
        <v>641</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2263</v>
      </c>
      <c r="P100" s="964"/>
      <c r="Q100" s="964"/>
      <c r="R100" s="964"/>
      <c r="S100" s="964"/>
      <c r="T100" s="850" t="s">
        <v>2264</v>
      </c>
      <c r="U100" s="850"/>
      <c r="V100" s="850"/>
      <c r="W100" s="850"/>
      <c r="X100" s="850"/>
      <c r="Y100" s="1007"/>
      <c r="Z100" s="853" t="s">
        <v>641</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2265</v>
      </c>
      <c r="P101" s="964"/>
      <c r="Q101" s="964"/>
      <c r="R101" s="964"/>
      <c r="S101" s="964"/>
      <c r="T101" s="850" t="s">
        <v>2266</v>
      </c>
      <c r="U101" s="850"/>
      <c r="V101" s="850"/>
      <c r="W101" s="850"/>
      <c r="X101" s="850"/>
      <c r="Y101" s="1007"/>
      <c r="Z101" s="853" t="s">
        <v>641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1712</v>
      </c>
      <c r="B148" s="852"/>
      <c r="C148" s="850" t="s">
        <v>2267</v>
      </c>
      <c r="D148" s="850" t="s">
        <v>1616</v>
      </c>
      <c r="E148" s="850" t="s">
        <v>1714</v>
      </c>
      <c r="F148" s="850" t="s">
        <v>2268</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5"/>
      <c r="O148" s="850"/>
      <c r="P148" s="851"/>
      <c r="Q148" s="851"/>
      <c r="R148" s="851"/>
      <c r="S148" s="850"/>
      <c r="T148" s="850" t="s">
        <v>2269</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1"/>
      <c r="W148" s="851"/>
      <c r="X148" s="850" t="s">
        <v>2270</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1716</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1719</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1724</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70B3B-4FE1-C076-83D9-673EB76A444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23" width="3.00390625" customWidth="1"/>
    <col min="10" max="11" style="351" width="3.00390625" customWidth="1"/>
    <col min="12" max="12" style="2433"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9" t="s">
        <v>2271</v>
      </c>
      <c r="M5" s="2629"/>
      <c r="N5" s="2629"/>
      <c r="O5" s="2629"/>
      <c r="P5" s="2629"/>
      <c r="Q5" s="2629"/>
      <c r="R5" s="2629"/>
      <c r="S5" s="2629"/>
      <c r="T5" s="2629"/>
      <c r="U5" s="2629"/>
      <c r="V5" s="1250"/>
      <c r="AD5" s="1162">
        <v>64</v>
      </c>
    </row>
    <row customHeight="1" ht="14.699999999999998">
      <c r="J6" s="383"/>
      <c r="K6" s="383"/>
      <c r="L6" s="2630" t="str">
        <f>IF(org=0,"Не определено",org)</f>
        <v>Общество с ограниченной ответственностью "Сигнал", г. Серов</v>
      </c>
      <c r="M6" s="2630"/>
      <c r="N6" s="2630"/>
      <c r="O6" s="2630"/>
      <c r="P6" s="2630"/>
      <c r="Q6" s="2630"/>
      <c r="R6" s="2630"/>
      <c r="S6" s="2630"/>
      <c r="T6" s="2630"/>
      <c r="U6" s="2630"/>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42</v>
      </c>
      <c r="N8" s="311"/>
      <c r="O8" s="2277" t="str">
        <f>IF(TITLE_NAME_OR_PR_CHANGE="",IF(TITLE_NAME_OR_PR="","",TITLE_NAME_OR_PR),TITLE_NAME_OR_PR_CHANGE)</f>
        <v/>
      </c>
      <c r="P8" s="2277"/>
      <c r="Q8" s="2277"/>
      <c r="R8" s="2277"/>
      <c r="S8" s="2277"/>
      <c r="T8" s="2277"/>
      <c r="U8" s="2277"/>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502</v>
      </c>
      <c r="N9" s="311"/>
      <c r="O9" s="2277" t="str">
        <f>IF(TITLE_DATE_CHANGE_PERIOD="",IF(TITLE_DATE_PR="","",TITLE_DATE_PR),TITLE_DATE_CHANGE_PERIOD)</f>
        <v/>
      </c>
      <c r="P9" s="2277"/>
      <c r="Q9" s="2277"/>
      <c r="R9" s="2277"/>
      <c r="S9" s="2277"/>
      <c r="T9" s="2277"/>
      <c r="U9" s="2277"/>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503</v>
      </c>
      <c r="N10" s="311"/>
      <c r="O10" s="2277" t="str">
        <f>IF(TITLE_NUMBER_PR_CHANGE="",IF(TITLE_NUMBER_PR="","",TITLE_NUMBER_PR),TITLE_NUMBER_PR_CHANGE)</f>
        <v/>
      </c>
      <c r="P10" s="2277"/>
      <c r="Q10" s="2277"/>
      <c r="R10" s="2277"/>
      <c r="S10" s="2277"/>
      <c r="T10" s="2277"/>
      <c r="U10" s="2277"/>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43</v>
      </c>
      <c r="N11" s="311"/>
      <c r="O11" s="2277" t="str">
        <f>IF(TITLE_IST_PUB_CHANGE="",IF(TITLE_IST_PUB="","",TITLE_IST_PUB),TITLE_IST_PUB_CHANGE)</f>
        <v/>
      </c>
      <c r="P11" s="2277"/>
      <c r="Q11" s="2277"/>
      <c r="R11" s="2277"/>
      <c r="S11" s="2277"/>
      <c r="T11" s="2277"/>
      <c r="U11" s="2277"/>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31"/>
      <c r="M12" s="2631"/>
      <c r="N12" s="1294"/>
      <c r="O12" s="333"/>
      <c r="P12" s="333"/>
      <c r="Q12" s="333"/>
      <c r="R12" s="333"/>
      <c r="S12" s="333"/>
      <c r="T12" s="333"/>
      <c r="U12" s="333"/>
      <c r="V12" s="285" t="s">
        <v>422</v>
      </c>
      <c r="Y12" s="375"/>
      <c r="Z12" s="375"/>
      <c r="AA12" s="375"/>
      <c r="AB12" s="375"/>
      <c r="AC12" s="375"/>
      <c r="AD12" s="425">
        <v>0</v>
      </c>
    </row>
    <row customHeight="1" ht="14.699999999999998">
      <c r="J13" s="383"/>
      <c r="K13" s="383"/>
      <c r="L13" s="1282"/>
      <c r="M13" s="370"/>
      <c r="N13" s="1251"/>
      <c r="O13" s="2278"/>
      <c r="P13" s="2278"/>
      <c r="Q13" s="2278"/>
      <c r="R13" s="2278"/>
      <c r="S13" s="2278"/>
      <c r="T13" s="2278"/>
      <c r="U13" s="2278"/>
      <c r="V13" s="2278"/>
      <c r="AD13" s="1162">
        <v>14</v>
      </c>
    </row>
    <row customHeight="1" ht="14.699999999999998">
      <c r="J14" s="383"/>
      <c r="K14" s="383"/>
      <c r="L14" s="2153" t="s">
        <v>299</v>
      </c>
      <c r="M14" s="2153"/>
      <c r="N14" s="2153"/>
      <c r="O14" s="2153"/>
      <c r="P14" s="2153"/>
      <c r="Q14" s="2153"/>
      <c r="R14" s="2153"/>
      <c r="S14" s="2153"/>
      <c r="T14" s="2153"/>
      <c r="U14" s="2153"/>
      <c r="V14" s="2153"/>
      <c r="W14" s="2153"/>
      <c r="X14" s="2153" t="s">
        <v>300</v>
      </c>
      <c r="AD14" s="1162">
        <v>14</v>
      </c>
    </row>
    <row customHeight="1" ht="14.699999999999998">
      <c r="J15" s="383"/>
      <c r="K15" s="383"/>
      <c r="L15" s="2299" t="s">
        <v>88</v>
      </c>
      <c r="M15" s="2235" t="s">
        <v>423</v>
      </c>
      <c r="N15" s="308"/>
      <c r="O15" s="2300" t="s">
        <v>2272</v>
      </c>
      <c r="P15" s="2301"/>
      <c r="Q15" s="2301"/>
      <c r="R15" s="2301"/>
      <c r="S15" s="2301"/>
      <c r="T15" s="2301"/>
      <c r="U15" s="2302"/>
      <c r="V15" s="2303" t="s">
        <v>425</v>
      </c>
      <c r="W15" s="2306" t="s">
        <v>1196</v>
      </c>
      <c r="X15" s="2153"/>
      <c r="AD15" s="1162">
        <v>14</v>
      </c>
    </row>
    <row customHeight="1" ht="35.699999999999996">
      <c r="J16" s="383"/>
      <c r="K16" s="383"/>
      <c r="L16" s="2299"/>
      <c r="M16" s="2235"/>
      <c r="N16" s="1038"/>
      <c r="O16" s="2286" t="s">
        <v>428</v>
      </c>
      <c r="P16" s="2286" t="s">
        <v>429</v>
      </c>
      <c r="Q16" s="2288" t="s">
        <v>430</v>
      </c>
      <c r="R16" s="2289"/>
      <c r="S16" s="2288" t="s">
        <v>444</v>
      </c>
      <c r="T16" s="2295"/>
      <c r="U16" s="2289"/>
      <c r="V16" s="2304"/>
      <c r="W16" s="2307"/>
      <c r="X16" s="2153"/>
      <c r="AD16" s="1162">
        <v>34</v>
      </c>
    </row>
    <row customHeight="1" ht="35.699999999999996">
      <c r="A17" s="1377" t="s">
        <v>135</v>
      </c>
      <c r="B17" s="1377" t="s">
        <v>136</v>
      </c>
      <c r="C17" s="1377" t="s">
        <v>137</v>
      </c>
      <c r="D17" s="1377" t="s">
        <v>138</v>
      </c>
      <c r="E17" s="1377"/>
      <c r="J17" s="383"/>
      <c r="K17" s="383"/>
      <c r="L17" s="2299"/>
      <c r="M17" s="2235"/>
      <c r="N17" s="309"/>
      <c r="O17" s="2287"/>
      <c r="P17" s="2287"/>
      <c r="Q17" s="1229" t="s">
        <v>439</v>
      </c>
      <c r="R17" s="1229" t="s">
        <v>440</v>
      </c>
      <c r="S17" s="1299" t="s">
        <v>441</v>
      </c>
      <c r="T17" s="2296" t="s">
        <v>442</v>
      </c>
      <c r="U17" s="2297"/>
      <c r="V17" s="2305"/>
      <c r="W17" s="2308"/>
      <c r="X17" s="2153"/>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98">
        <f>OFFSET(T18,0,-1)+1</f>
        <v>4</v>
      </c>
      <c r="U18" s="2298"/>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32" t="str">
        <f>INDEX(PT_DIFFERENTIATION_NTAR,MATCH(A19,PT_DIFFERENTIATION_NTAR_ID,0))</f>
        <v/>
      </c>
      <c r="P19" s="2632"/>
      <c r="Q19" s="2632"/>
      <c r="R19" s="2632"/>
      <c r="S19" s="2632"/>
      <c r="T19" s="2632"/>
      <c r="U19" s="2632"/>
      <c r="V19" s="2632"/>
      <c r="W19" s="2632"/>
      <c r="X19" s="1265" t="s">
        <v>395</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396</v>
      </c>
      <c r="N20" s="307"/>
      <c r="O20" s="2632" t="str">
        <f>INDEX(PT_DIFFERENTIATION_TER,MATCH(B19,PT_DIFFERENTIATION_TER_ID,0))</f>
        <v/>
      </c>
      <c r="P20" s="2632"/>
      <c r="Q20" s="2632"/>
      <c r="R20" s="2632"/>
      <c r="S20" s="2632"/>
      <c r="T20" s="2632"/>
      <c r="U20" s="2632"/>
      <c r="V20" s="2632"/>
      <c r="W20" s="2632"/>
      <c r="X20" s="1265" t="s">
        <v>397</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398</v>
      </c>
      <c r="N21" s="307"/>
      <c r="O21" s="2632" t="str">
        <f>INDEX(PT_DIFFERENTIATION_CS,MATCH(C19,PT_DIFFERENTIATION_CS_ID,0))</f>
        <v/>
      </c>
      <c r="P21" s="2632"/>
      <c r="Q21" s="2632"/>
      <c r="R21" s="2632"/>
      <c r="S21" s="2632"/>
      <c r="T21" s="2632"/>
      <c r="U21" s="2632"/>
      <c r="V21" s="2632"/>
      <c r="W21" s="2632"/>
      <c r="X21" s="1265" t="s">
        <v>399</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400</v>
      </c>
      <c r="N22" s="307"/>
      <c r="O22" s="2632" t="str">
        <f>INDEX(PT_DIFFERENTIATION_IST_TE,MATCH(D19,PT_DIFFERENTIATION_IST_TE_ID,0))</f>
        <v/>
      </c>
      <c r="P22" s="2632"/>
      <c r="Q22" s="2632"/>
      <c r="R22" s="2632"/>
      <c r="S22" s="2632"/>
      <c r="T22" s="2632"/>
      <c r="U22" s="2632"/>
      <c r="V22" s="2632"/>
      <c r="W22" s="2632"/>
      <c r="X22" s="1265" t="s">
        <v>401</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33" t="str">
        <f>L22&amp;".1"</f>
        <v>....1</v>
      </c>
      <c r="I23" s="2283">
        <v>1</v>
      </c>
      <c r="J23" s="1298"/>
      <c r="K23" s="363"/>
      <c r="L23" s="1300" t="str">
        <f>$F$23</f>
        <v>....1</v>
      </c>
      <c r="M23" s="292" t="s">
        <v>403</v>
      </c>
      <c r="N23" s="307"/>
      <c r="O23" s="2331"/>
      <c r="P23" s="2331"/>
      <c r="Q23" s="2331"/>
      <c r="R23" s="2331"/>
      <c r="S23" s="2331"/>
      <c r="T23" s="2331"/>
      <c r="U23" s="2331"/>
      <c r="V23" s="2331"/>
      <c r="W23" s="2331"/>
      <c r="X23" s="1265" t="s">
        <v>404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33"/>
      <c r="G24" s="2243" t="str">
        <f>F23&amp;".1"</f>
        <v>....1.1</v>
      </c>
      <c r="I24" s="2283"/>
      <c r="J24" s="2283">
        <v>1</v>
      </c>
      <c r="K24" s="364"/>
      <c r="L24" s="1300" t="str">
        <f>$G$24</f>
        <v>....1.1</v>
      </c>
      <c r="M24" s="293" t="s">
        <v>406</v>
      </c>
      <c r="N24" s="307"/>
      <c r="O24" s="2271"/>
      <c r="P24" s="2272"/>
      <c r="Q24" s="2272"/>
      <c r="R24" s="2272"/>
      <c r="S24" s="2272"/>
      <c r="T24" s="2272"/>
      <c r="U24" s="2272"/>
      <c r="V24" s="2272"/>
      <c r="W24" s="2273"/>
      <c r="X24" s="1265" t="s">
        <v>407</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33"/>
      <c r="G25" s="2243"/>
      <c r="H25" s="2243" t="str">
        <f>G24&amp;".1"</f>
        <v>....1.1.1</v>
      </c>
      <c r="I25" s="2283"/>
      <c r="J25" s="2283"/>
      <c r="K25" s="364">
        <v>1</v>
      </c>
      <c r="L25" s="1300" t="str">
        <f>$H$25</f>
        <v>....1.1.1</v>
      </c>
      <c r="M25" s="1354"/>
      <c r="N25" s="307"/>
      <c r="O25" s="758"/>
      <c r="P25" s="332"/>
      <c r="Q25" s="758"/>
      <c r="R25" s="1264"/>
      <c r="S25" s="2628"/>
      <c r="T25" s="2133" t="s">
        <v>65</v>
      </c>
      <c r="U25" s="2628"/>
      <c r="V25" s="2133" t="s">
        <v>19</v>
      </c>
      <c r="W25" s="332"/>
      <c r="X25" s="2279" t="s">
        <v>409</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33"/>
      <c r="G26" s="2243"/>
      <c r="H26" s="2243"/>
      <c r="I26" s="2283"/>
      <c r="J26" s="2283"/>
      <c r="K26" s="364"/>
      <c r="L26" s="1301"/>
      <c r="M26" s="307"/>
      <c r="N26" s="307"/>
      <c r="O26" s="332"/>
      <c r="P26" s="332"/>
      <c r="Q26" s="332"/>
      <c r="R26" s="335" t="str">
        <f>S25&amp;"-"&amp;U25</f>
        <v>-</v>
      </c>
      <c r="S26" s="2292"/>
      <c r="T26" s="2133"/>
      <c r="U26" s="2292"/>
      <c r="V26" s="2133"/>
      <c r="W26" s="332"/>
      <c r="X26" s="2280"/>
      <c r="Z26" s="507"/>
      <c r="AA26" s="507" t="str">
        <f>IF(M26="","",M26)</f>
        <v/>
      </c>
      <c r="AB26" s="507"/>
      <c r="AC26" s="507"/>
      <c r="AD26" s="1162">
        <v>11</v>
      </c>
    </row>
    <row customHeight="1" ht="15.75">
      <c r="A27" s="1370" t="s">
        <v>169</v>
      </c>
      <c r="B27" s="1370" t="s">
        <v>170</v>
      </c>
      <c r="C27" s="1370" t="s">
        <v>171</v>
      </c>
      <c r="D27" s="1370" t="s">
        <v>172</v>
      </c>
      <c r="E27" s="1370"/>
      <c r="F27" s="2633"/>
      <c r="G27" s="2243"/>
      <c r="I27" s="2283"/>
      <c r="J27" s="2283"/>
      <c r="K27" s="363"/>
      <c r="L27" s="1285"/>
      <c r="M27" s="295" t="s">
        <v>410</v>
      </c>
      <c r="N27" s="374"/>
      <c r="O27" s="374"/>
      <c r="P27" s="374"/>
      <c r="Q27" s="374"/>
      <c r="R27" s="374"/>
      <c r="S27" s="374"/>
      <c r="T27" s="374"/>
      <c r="U27" s="374"/>
      <c r="V27" s="374"/>
      <c r="W27" s="331"/>
      <c r="X27" s="2281"/>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33"/>
      <c r="I28" s="2283"/>
      <c r="J28" s="1298"/>
      <c r="K28" s="363"/>
      <c r="L28" s="1285"/>
      <c r="M28" s="294" t="s">
        <v>411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597</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2273</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2274</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443</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831</v>
      </c>
      <c r="M35" s="2311" t="s">
        <v>2275</v>
      </c>
      <c r="N35" s="2311"/>
      <c r="O35" s="2311"/>
      <c r="P35" s="2311"/>
      <c r="Q35" s="2311"/>
      <c r="R35" s="2311"/>
      <c r="S35" s="2311"/>
      <c r="T35" s="2311"/>
      <c r="U35" s="2311"/>
      <c r="V35" s="2311"/>
      <c r="W35" s="2311"/>
      <c r="X35" s="2311"/>
      <c r="AD35" s="1162">
        <v>27</v>
      </c>
    </row>
    <row customHeight="1" ht="109.19999999999999">
      <c r="H36" s="544"/>
      <c r="I36" s="1310"/>
      <c r="M36" s="2311" t="s">
        <v>2276</v>
      </c>
      <c r="N36" s="2311"/>
      <c r="O36" s="2311"/>
      <c r="P36" s="2311"/>
      <c r="Q36" s="2311"/>
      <c r="R36" s="2311"/>
      <c r="S36" s="2311"/>
      <c r="T36" s="2311"/>
      <c r="U36" s="2311"/>
      <c r="V36" s="2311"/>
      <c r="W36" s="2311"/>
      <c r="X36" s="2311"/>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1BC69-1416-4FA8-3FF7-33452D89BE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CF337-E72B-896F-D95F-5D7FA7C22A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50616-3472-E351-39FB-8ABB7F0E43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00C62-DC69-54CC-4A76-6046E67601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CD35C-60F4-9552-09AD-4314AE93E3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F5C31-B345-DE8F-1238-5D41645D8E8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298</v>
      </c>
      <c r="J1" s="462" t="s">
        <v>14</v>
      </c>
    </row>
    <row customHeight="1" ht="11.25" hidden="1">
      <c r="J2" s="462">
        <v>0</v>
      </c>
    </row>
    <row s="484" customFormat="1" customHeight="1" ht="11.549999999999999">
      <c r="A3" s="1692"/>
      <c r="B3" s="508"/>
      <c r="D3" s="485"/>
      <c r="J3" s="484">
        <v>11</v>
      </c>
    </row>
    <row customHeight="1" ht="27.299999999999997">
      <c r="D4" s="2183" t="str">
        <f>ORG_INFO_NAME_FORM</f>
        <v>Форма 1. Информация об организации, осуществляющей водоотведение (общая информация)</v>
      </c>
      <c r="E4" s="2184"/>
      <c r="F4" s="2185"/>
      <c r="I4" s="722"/>
      <c r="J4" s="462">
        <v>26</v>
      </c>
    </row>
    <row customHeight="1" ht="18">
      <c r="D5" s="2202" t="str">
        <f>IF(org=0,"Не определено",org)</f>
        <v>Общество с ограниченной ответственностью "Сигнал", г. Серов</v>
      </c>
      <c r="E5" s="2202"/>
      <c r="F5" s="2202"/>
      <c r="I5" s="722"/>
      <c r="J5" s="462">
        <v>17</v>
      </c>
    </row>
    <row s="484" customFormat="1" customHeight="1" ht="11.549999999999999">
      <c r="A6" s="1692"/>
      <c r="B6" s="508"/>
      <c r="D6" s="721"/>
      <c r="E6" s="721"/>
      <c r="F6" s="759"/>
      <c r="G6" s="721"/>
      <c r="J6" s="484">
        <v>11</v>
      </c>
    </row>
    <row customHeight="1" ht="11.25" hidden="1">
      <c r="A7" s="464"/>
      <c r="B7" s="509"/>
      <c r="C7" s="464"/>
      <c r="D7" s="470"/>
      <c r="E7" s="2233"/>
      <c r="F7" s="2233"/>
      <c r="J7" s="462">
        <v>0</v>
      </c>
    </row>
    <row customHeight="1" ht="11.549999999999999">
      <c r="A8" s="464"/>
      <c r="B8" s="509"/>
      <c r="C8" s="464"/>
      <c r="D8" s="2230" t="s">
        <v>299</v>
      </c>
      <c r="E8" s="2231"/>
      <c r="F8" s="2231"/>
      <c r="G8" s="2234" t="s">
        <v>300</v>
      </c>
      <c r="J8" s="462">
        <v>11</v>
      </c>
    </row>
    <row customHeight="1" ht="11.549999999999999">
      <c r="A9" s="464"/>
      <c r="B9" s="509"/>
      <c r="C9" s="464"/>
      <c r="D9" s="479" t="s">
        <v>88</v>
      </c>
      <c r="E9" s="453" t="s">
        <v>301</v>
      </c>
      <c r="F9" s="453" t="s">
        <v>302</v>
      </c>
      <c r="G9" s="2235"/>
      <c r="J9" s="462">
        <v>11</v>
      </c>
    </row>
    <row customHeight="1" ht="12" hidden="1">
      <c r="A10" s="464"/>
      <c r="B10" s="509"/>
      <c r="C10" s="464"/>
      <c r="D10" s="471"/>
      <c r="E10" s="471"/>
      <c r="F10" s="471"/>
      <c r="G10" s="471"/>
      <c r="J10" s="462">
        <v>0</v>
      </c>
    </row>
    <row customHeight="1" ht="22.5" hidden="1">
      <c r="A11" s="464"/>
      <c r="B11" s="509"/>
      <c r="C11" s="464"/>
      <c r="D11" s="1016" t="s">
        <v>109</v>
      </c>
      <c r="E11" s="1019" t="s">
        <v>303</v>
      </c>
      <c r="F11" s="1018" t="str">
        <f>IF(region_name="","",region_name)</f>
        <v>Свердловская область</v>
      </c>
      <c r="G11" s="1019" t="s">
        <v>304</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305</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306</v>
      </c>
      <c r="E14" s="1017" t="s">
        <v>307</v>
      </c>
      <c r="F14" s="1018" t="str">
        <f>IF(inn="","",inn)</f>
        <v>6680000038</v>
      </c>
      <c r="G14" s="1019" t="s">
        <v>308</v>
      </c>
      <c r="H14" s="482"/>
      <c r="J14" s="462">
        <v>0</v>
      </c>
    </row>
    <row customHeight="1" ht="22.5" hidden="1">
      <c r="A15" s="464"/>
      <c r="B15" s="509"/>
      <c r="C15" s="464"/>
      <c r="D15" s="1016" t="s">
        <v>309</v>
      </c>
      <c r="E15" s="1017" t="s">
        <v>310</v>
      </c>
      <c r="F15" s="1018" t="str">
        <f>IF(kpp="","",kpp)</f>
        <v>668001001</v>
      </c>
      <c r="G15" s="1019" t="s">
        <v>311</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8" t="s">
        <v>312</v>
      </c>
      <c r="B19" s="509"/>
      <c r="C19" s="2239"/>
      <c r="D19" s="452" t="str">
        <f>A19</f>
        <v>5.1</v>
      </c>
      <c r="E19" s="449" t="s">
        <v>313</v>
      </c>
      <c r="F19" s="450" t="s">
        <v>305</v>
      </c>
      <c r="G19" s="451" t="s">
        <v>314</v>
      </c>
      <c r="H19" s="482"/>
      <c r="I19" s="859"/>
      <c r="J19" s="462">
        <v>0</v>
      </c>
    </row>
    <row customHeight="1" ht="24" hidden="1">
      <c r="A20" s="2228"/>
      <c r="B20" s="509"/>
      <c r="C20" s="2239"/>
      <c r="D20" s="447" t="str">
        <f>D19&amp;".1"</f>
        <v>5.1.1</v>
      </c>
      <c r="E20" s="446" t="s">
        <v>315</v>
      </c>
      <c r="F20" s="888" t="s">
        <v>22</v>
      </c>
      <c r="G20" s="481"/>
      <c r="H20" s="482"/>
      <c r="I20" s="859"/>
      <c r="J20" s="462">
        <v>0</v>
      </c>
    </row>
    <row customHeight="1" ht="22.5" hidden="1">
      <c r="A21" s="2228"/>
      <c r="B21" s="509"/>
      <c r="C21" s="2239"/>
      <c r="D21" s="447" t="str">
        <f>D19&amp;".2"</f>
        <v>5.1.2</v>
      </c>
      <c r="E21" s="446" t="s">
        <v>316</v>
      </c>
      <c r="F21" s="1739" t="s">
        <v>22</v>
      </c>
      <c r="G21" s="451" t="s">
        <v>317</v>
      </c>
      <c r="H21" s="482"/>
      <c r="I21" s="859"/>
      <c r="J21" s="462">
        <v>0</v>
      </c>
    </row>
    <row customHeight="1" ht="22.5" hidden="1">
      <c r="A22" s="2228"/>
      <c r="B22" s="509"/>
      <c r="C22" s="2239"/>
      <c r="D22" s="447" t="str">
        <f>D19&amp;".3"</f>
        <v>5.1.3</v>
      </c>
      <c r="E22" s="446" t="s">
        <v>318</v>
      </c>
      <c r="F22" s="888" t="s">
        <v>22</v>
      </c>
      <c r="G22" s="481"/>
      <c r="H22" s="482"/>
      <c r="I22" s="859"/>
      <c r="J22" s="462">
        <v>0</v>
      </c>
    </row>
    <row customHeight="1" ht="22.5" hidden="1">
      <c r="A23" s="2228"/>
      <c r="B23" s="509"/>
      <c r="C23" s="2239"/>
      <c r="D23" s="447" t="str">
        <f>D19&amp;".4"</f>
        <v>5.1.4</v>
      </c>
      <c r="E23" s="446" t="s">
        <v>319</v>
      </c>
      <c r="F23" s="888" t="s">
        <v>22</v>
      </c>
      <c r="G23" s="451" t="s">
        <v>320</v>
      </c>
      <c r="H23" s="482"/>
      <c r="I23" s="859"/>
      <c r="J23" s="462">
        <v>0</v>
      </c>
    </row>
    <row customHeight="1" ht="22.5" hidden="1">
      <c r="A24" s="1982"/>
      <c r="B24" s="509"/>
      <c r="C24" s="499"/>
      <c r="D24" s="474"/>
      <c r="E24" s="1175" t="s">
        <v>321</v>
      </c>
      <c r="F24" s="475"/>
      <c r="G24" s="476"/>
      <c r="H24" s="482"/>
      <c r="I24" s="859"/>
      <c r="J24" s="462">
        <v>0</v>
      </c>
    </row>
    <row s="508" customFormat="1" customHeight="1" ht="24.75" hidden="1">
      <c r="A25" s="464"/>
      <c r="B25" s="509"/>
      <c r="C25" s="509"/>
      <c r="D25" s="1013" t="s">
        <v>90</v>
      </c>
      <c r="E25" s="1015" t="s">
        <v>322</v>
      </c>
      <c r="F25" s="1020" t="s">
        <v>305</v>
      </c>
      <c r="G25" s="1015"/>
      <c r="J25" s="508">
        <v>0</v>
      </c>
    </row>
    <row s="508" customFormat="1" customHeight="1" ht="11.25" hidden="1">
      <c r="A26" s="464"/>
      <c r="B26" s="509"/>
      <c r="C26" s="509"/>
      <c r="D26" s="1013" t="s">
        <v>323</v>
      </c>
      <c r="E26" s="1014" t="s">
        <v>324</v>
      </c>
      <c r="F26" s="1020" t="s">
        <v>305</v>
      </c>
      <c r="G26" s="1015"/>
      <c r="J26" s="508">
        <v>0</v>
      </c>
    </row>
    <row s="508" customFormat="1" customHeight="1" ht="11.25" hidden="1">
      <c r="A27" s="464"/>
      <c r="B27" s="509"/>
      <c r="C27" s="509"/>
      <c r="D27" s="1013" t="s">
        <v>325</v>
      </c>
      <c r="E27" s="1021" t="s">
        <v>326</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327</v>
      </c>
      <c r="E28" s="1021" t="s">
        <v>328</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329</v>
      </c>
      <c r="E29" s="1021" t="s">
        <v>330</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331</v>
      </c>
      <c r="E30" s="1014" t="s">
        <v>332</v>
      </c>
      <c r="F30" s="1022"/>
      <c r="G30" s="1015"/>
      <c r="J30" s="508">
        <v>0</v>
      </c>
    </row>
    <row s="508" customFormat="1" customHeight="1" ht="11.25" hidden="1">
      <c r="A31" s="464"/>
      <c r="B31" s="509"/>
      <c r="C31" s="509"/>
      <c r="D31" s="1013" t="s">
        <v>333</v>
      </c>
      <c r="E31" s="1014" t="s">
        <v>334</v>
      </c>
      <c r="F31" s="1022"/>
      <c r="G31" s="1015"/>
      <c r="J31" s="508">
        <v>0</v>
      </c>
    </row>
    <row s="508" customFormat="1" customHeight="1" ht="11.25" hidden="1">
      <c r="A32" s="464"/>
      <c r="B32" s="509"/>
      <c r="C32" s="509"/>
      <c r="D32" s="1013" t="s">
        <v>335</v>
      </c>
      <c r="E32" s="1014" t="s">
        <v>336</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305</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337</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337</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305</v>
      </c>
      <c r="G39" s="2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37"/>
      <c r="H40" s="482"/>
      <c r="J40" s="462">
        <v>0</v>
      </c>
    </row>
    <row customHeight="1" ht="23.25">
      <c r="A41" s="464"/>
      <c r="B41" s="464"/>
      <c r="C41" s="1694"/>
      <c r="D41" s="447" t="str">
        <f>D39&amp;".1"</f>
        <v>8.1</v>
      </c>
      <c r="E41" s="867"/>
      <c r="F41" s="868"/>
      <c r="G41" s="2237"/>
      <c r="H41" s="482"/>
      <c r="J41" s="462">
        <v>22</v>
      </c>
    </row>
    <row customHeight="1" ht="15.75">
      <c r="A42" s="464"/>
      <c r="B42" s="509"/>
      <c r="C42" s="464"/>
      <c r="D42" s="474"/>
      <c r="E42" s="422" t="s">
        <v>338</v>
      </c>
      <c r="F42" s="476"/>
      <c r="G42" s="2238"/>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339</v>
      </c>
      <c r="H44" s="482"/>
      <c r="J44" s="462">
        <v>22</v>
      </c>
    </row>
    <row customHeight="1" ht="23.25">
      <c r="A45" s="464"/>
      <c r="B45" s="509"/>
      <c r="C45" s="464"/>
      <c r="D45" s="447">
        <f>D44+1</f>
        <v>11</v>
      </c>
      <c r="E45" s="445" t="s">
        <v>340</v>
      </c>
      <c r="F45" s="450" t="s">
        <v>305</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0"/>
      <c r="G46" s="444" t="s">
        <v>341</v>
      </c>
      <c r="H46" s="482"/>
      <c r="J46" s="462">
        <v>23</v>
      </c>
    </row>
    <row customHeight="1" ht="24">
      <c r="A47" s="2228"/>
      <c r="B47" s="509"/>
      <c r="C47" s="499"/>
      <c r="D47" s="447" t="str">
        <f>D45&amp;".2"</f>
        <v>11.2</v>
      </c>
      <c r="E47" s="449" t="s">
        <v>342</v>
      </c>
      <c r="F47" s="497"/>
      <c r="G47" s="444" t="s">
        <v>343</v>
      </c>
      <c r="H47" s="482"/>
      <c r="J47" s="462">
        <v>23</v>
      </c>
    </row>
    <row customHeight="1" ht="24">
      <c r="A48" s="2228"/>
      <c r="B48" s="509"/>
      <c r="C48" s="499"/>
      <c r="D48" s="447" t="str">
        <f>D45&amp;".3"</f>
        <v>11.3</v>
      </c>
      <c r="E48" s="449" t="s">
        <v>344</v>
      </c>
      <c r="F48" s="497"/>
      <c r="G48" s="444" t="s">
        <v>345</v>
      </c>
      <c r="H48" s="482"/>
      <c r="J48" s="462">
        <v>23</v>
      </c>
    </row>
    <row customHeight="1" ht="24">
      <c r="A49" s="2228"/>
      <c r="B49" s="509"/>
      <c r="C49" s="499"/>
      <c r="D49" s="447" t="str">
        <f>IF(TEMPLATE_SPHERE="TKO",D45&amp;".0",D45&amp;".4")</f>
        <v>11.4</v>
      </c>
      <c r="E49" s="443" t="s">
        <v>346</v>
      </c>
      <c r="F49" s="1691"/>
      <c r="G49" s="1768" t="s">
        <v>347</v>
      </c>
      <c r="H49" s="482"/>
      <c r="J49" s="462">
        <v>23</v>
      </c>
    </row>
    <row customHeight="1" ht="24">
      <c r="A50" s="464"/>
      <c r="B50" s="509"/>
      <c r="C50" s="464"/>
      <c r="D50" s="474"/>
      <c r="E50" s="422" t="s">
        <v>348</v>
      </c>
      <c r="F50" s="475"/>
      <c r="G50" s="1768" t="s">
        <v>349</v>
      </c>
      <c r="H50" s="483"/>
      <c r="J50" s="462">
        <v>23</v>
      </c>
    </row>
    <row customHeight="1" ht="24">
      <c r="A51" s="865"/>
      <c r="B51" s="509"/>
      <c r="C51" s="499"/>
      <c r="D51" s="447">
        <f>D45+1</f>
        <v>12</v>
      </c>
      <c r="E51" s="535" t="s">
        <v>350</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3"/>
      <c r="B53" s="510"/>
      <c r="C53" s="2229"/>
      <c r="D53"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2"/>
      <c r="F53" s="2232"/>
      <c r="G53" s="2232"/>
      <c r="H53" s="461"/>
      <c r="I53" s="461"/>
      <c r="J53" s="467">
        <v>30</v>
      </c>
    </row>
    <row s="467" customFormat="1" customHeight="1" ht="42">
      <c r="A54" s="464"/>
      <c r="B54" s="509"/>
      <c r="C54" s="2229"/>
      <c r="D54" s="223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32"/>
      <c r="F54" s="2232"/>
      <c r="G54" s="2232"/>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82</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87927-8B5D-5261-64F7-FCA9534175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4FD75-EB66-ADBE-9DB7-BCAB07950D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F39BB-2655-4A59-2B5B-7B0520B8D42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3C49F-F5EF-86DB-9629-5B7375D1A0D4}"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45" t="s">
        <v>2277</v>
      </c>
      <c r="B1" s="2646" t="s">
        <v>2278</v>
      </c>
      <c r="C1" s="2647" t="s">
        <v>2279</v>
      </c>
      <c r="D1" s="2648"/>
      <c r="E1" s="843" t="s">
        <v>2280</v>
      </c>
    </row>
    <row customHeight="1" ht="11.25">
      <c r="A2" s="2649"/>
      <c r="B2" s="772" t="s">
        <v>27</v>
      </c>
      <c r="C2" s="760"/>
      <c r="D2" s="771"/>
      <c r="E2" s="843"/>
    </row>
    <row customHeight="1" ht="11.25">
      <c r="A3" s="2650"/>
      <c r="B3" s="2651" t="s">
        <v>33</v>
      </c>
      <c r="C3" s="760"/>
      <c r="D3" s="771"/>
      <c r="E3" s="843"/>
    </row>
    <row customHeight="1" ht="11.25">
      <c r="A4" s="2652"/>
      <c r="B4" s="773" t="s">
        <v>1712</v>
      </c>
      <c r="C4" s="760"/>
      <c r="D4" s="771"/>
      <c r="E4" s="843"/>
    </row>
    <row customHeight="1" ht="11.25">
      <c r="A5" s="2653"/>
      <c r="B5" s="773" t="s">
        <v>1707</v>
      </c>
      <c r="C5" s="2654" t="s">
        <v>2047</v>
      </c>
      <c r="D5" s="2655" t="s">
        <v>2281</v>
      </c>
      <c r="E5" s="843"/>
    </row>
    <row s="1854" customFormat="1" customHeight="1" ht="11.25">
      <c r="A6" s="2656"/>
      <c r="B6" s="773" t="s">
        <v>1716</v>
      </c>
      <c r="C6" s="760"/>
      <c r="D6" s="771"/>
      <c r="E6" s="843"/>
    </row>
    <row customHeight="1" ht="11.25">
      <c r="A7" s="2657"/>
      <c r="B7" s="773" t="s">
        <v>1724</v>
      </c>
      <c r="C7" s="760"/>
      <c r="D7" s="771"/>
      <c r="E7" s="843"/>
    </row>
    <row customHeight="1" ht="11.25">
      <c r="A8" s="763"/>
      <c r="B8" s="773" t="s">
        <v>1719</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03109-2368-A6FB-C587-5DAD8CD3B4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95BB1-2F04-0B51-7B32-0F3E72DA2C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5616D-CF4E-AE56-D336-27C3CFE8B11F}" mc:Ignorable="x14ac xr xr2 xr3">
  <sheetPr>
    <tabColor rgb="FFFFCC99"/>
  </sheetPr>
  <dimension ref="A1:I1534"/>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5" t="s">
        <v>2282</v>
      </c>
      <c r="B1" s="75" t="s">
        <v>2283</v>
      </c>
      <c r="C1" s="69" t="s">
        <v>2284</v>
      </c>
      <c r="D1" s="69" t="s">
        <v>2285</v>
      </c>
      <c r="E1" s="69" t="s">
        <v>2286</v>
      </c>
      <c r="F1" s="69" t="s">
        <v>2287</v>
      </c>
      <c r="G1" s="69" t="s">
        <v>2288</v>
      </c>
      <c r="H1" s="69" t="s">
        <v>2289</v>
      </c>
      <c r="I1" s="69" t="s">
        <v>2290</v>
      </c>
    </row>
    <row customHeight="1" ht="11.25">
      <c r="A2" s="1854" t="s">
        <v>2291</v>
      </c>
      <c r="B2" s="1854" t="s">
        <v>16</v>
      </c>
      <c r="C2" s="69" t="s">
        <v>2292</v>
      </c>
      <c r="D2" s="69" t="s">
        <v>2293</v>
      </c>
      <c r="E2" s="69" t="s">
        <v>2294</v>
      </c>
      <c r="F2" s="69" t="s">
        <v>2295</v>
      </c>
      <c r="G2" s="69" t="s">
        <v>2296</v>
      </c>
      <c r="H2" s="69" t="s">
        <v>22</v>
      </c>
      <c r="I2" s="69" t="s">
        <v>835</v>
      </c>
    </row>
    <row customHeight="1" ht="11.25">
      <c r="A3" s="1854" t="s">
        <v>2291</v>
      </c>
      <c r="B3" s="1854" t="s">
        <v>16</v>
      </c>
      <c r="C3" s="0" t="s">
        <v>2297</v>
      </c>
      <c r="D3" s="0" t="s">
        <v>2298</v>
      </c>
      <c r="E3" s="0" t="s">
        <v>2299</v>
      </c>
      <c r="F3" s="0" t="s">
        <v>2300</v>
      </c>
      <c r="G3" s="0" t="s">
        <v>22</v>
      </c>
      <c r="H3" s="0" t="s">
        <v>22</v>
      </c>
      <c r="I3" s="0" t="s">
        <v>835</v>
      </c>
    </row>
    <row customHeight="1" ht="11.25">
      <c r="A4" s="1854" t="s">
        <v>2291</v>
      </c>
      <c r="B4" s="1854" t="s">
        <v>16</v>
      </c>
      <c r="C4" s="0" t="s">
        <v>2301</v>
      </c>
      <c r="D4" s="0" t="s">
        <v>2302</v>
      </c>
      <c r="E4" s="0" t="s">
        <v>2303</v>
      </c>
      <c r="F4" s="0" t="s">
        <v>2304</v>
      </c>
      <c r="G4" s="0" t="s">
        <v>2305</v>
      </c>
      <c r="H4" s="0" t="s">
        <v>22</v>
      </c>
      <c r="I4" s="0" t="s">
        <v>835</v>
      </c>
    </row>
    <row customHeight="1" ht="11.25">
      <c r="A5" s="1854" t="s">
        <v>2291</v>
      </c>
      <c r="B5" s="1854" t="s">
        <v>16</v>
      </c>
      <c r="C5" s="0" t="s">
        <v>2306</v>
      </c>
      <c r="D5" s="0" t="s">
        <v>2307</v>
      </c>
      <c r="E5" s="0" t="s">
        <v>2308</v>
      </c>
      <c r="F5" s="0" t="s">
        <v>2309</v>
      </c>
      <c r="G5" s="0" t="s">
        <v>22</v>
      </c>
      <c r="H5" s="0" t="s">
        <v>22</v>
      </c>
      <c r="I5" s="0" t="s">
        <v>835</v>
      </c>
    </row>
    <row customHeight="1" ht="11.25">
      <c r="A6" s="1854" t="s">
        <v>2291</v>
      </c>
      <c r="B6" s="1854" t="s">
        <v>16</v>
      </c>
      <c r="C6" s="0" t="s">
        <v>2310</v>
      </c>
      <c r="D6" s="0" t="s">
        <v>2311</v>
      </c>
      <c r="E6" s="0" t="s">
        <v>2312</v>
      </c>
      <c r="F6" s="0" t="s">
        <v>2313</v>
      </c>
      <c r="G6" s="0" t="s">
        <v>2314</v>
      </c>
      <c r="H6" s="0" t="s">
        <v>22</v>
      </c>
      <c r="I6" s="0" t="s">
        <v>835</v>
      </c>
    </row>
    <row customHeight="1" ht="11.25">
      <c r="A7" s="1854" t="s">
        <v>2291</v>
      </c>
      <c r="B7" s="1854" t="s">
        <v>16</v>
      </c>
      <c r="C7" s="0" t="s">
        <v>2315</v>
      </c>
      <c r="D7" s="0" t="s">
        <v>2316</v>
      </c>
      <c r="E7" s="0" t="s">
        <v>2317</v>
      </c>
      <c r="F7" s="0" t="s">
        <v>2318</v>
      </c>
      <c r="G7" s="0" t="s">
        <v>22</v>
      </c>
      <c r="H7" s="0" t="s">
        <v>22</v>
      </c>
      <c r="I7" s="0" t="s">
        <v>835</v>
      </c>
    </row>
    <row customHeight="1" ht="11.25">
      <c r="A8" s="1854" t="s">
        <v>2291</v>
      </c>
      <c r="B8" s="1854" t="s">
        <v>16</v>
      </c>
      <c r="C8" s="0" t="s">
        <v>2319</v>
      </c>
      <c r="D8" s="0" t="s">
        <v>2320</v>
      </c>
      <c r="E8" s="0" t="s">
        <v>2321</v>
      </c>
      <c r="F8" s="0" t="s">
        <v>2322</v>
      </c>
      <c r="G8" s="0" t="s">
        <v>2323</v>
      </c>
      <c r="H8" s="0" t="s">
        <v>22</v>
      </c>
      <c r="I8" s="0" t="s">
        <v>835</v>
      </c>
    </row>
    <row customHeight="1" ht="11.25">
      <c r="A9" s="1854" t="s">
        <v>2291</v>
      </c>
      <c r="B9" s="1854" t="s">
        <v>16</v>
      </c>
      <c r="C9" s="0" t="s">
        <v>2324</v>
      </c>
      <c r="D9" s="0" t="s">
        <v>2325</v>
      </c>
      <c r="E9" s="0" t="s">
        <v>2326</v>
      </c>
      <c r="F9" s="0" t="s">
        <v>2327</v>
      </c>
      <c r="G9" s="0" t="s">
        <v>22</v>
      </c>
      <c r="H9" s="0" t="s">
        <v>22</v>
      </c>
      <c r="I9" s="0" t="s">
        <v>835</v>
      </c>
    </row>
    <row customHeight="1" ht="11.25">
      <c r="A10" s="1854" t="s">
        <v>2291</v>
      </c>
      <c r="B10" s="1854" t="s">
        <v>16</v>
      </c>
      <c r="C10" s="0" t="s">
        <v>2328</v>
      </c>
      <c r="D10" s="0" t="s">
        <v>2329</v>
      </c>
      <c r="E10" s="0" t="s">
        <v>2330</v>
      </c>
      <c r="F10" s="0" t="s">
        <v>2331</v>
      </c>
      <c r="G10" s="0" t="s">
        <v>22</v>
      </c>
      <c r="H10" s="0" t="s">
        <v>22</v>
      </c>
      <c r="I10" s="0" t="s">
        <v>835</v>
      </c>
    </row>
    <row customHeight="1" ht="11.25">
      <c r="A11" s="1854" t="s">
        <v>2291</v>
      </c>
      <c r="B11" s="1854" t="s">
        <v>16</v>
      </c>
      <c r="C11" s="0" t="s">
        <v>2332</v>
      </c>
      <c r="D11" s="0" t="s">
        <v>2333</v>
      </c>
      <c r="E11" s="0" t="s">
        <v>2334</v>
      </c>
      <c r="F11" s="0" t="s">
        <v>2335</v>
      </c>
      <c r="G11" s="0" t="s">
        <v>2336</v>
      </c>
      <c r="H11" s="0" t="s">
        <v>22</v>
      </c>
      <c r="I11" s="0" t="s">
        <v>835</v>
      </c>
    </row>
    <row customHeight="1" ht="11.25">
      <c r="A12" s="1854" t="s">
        <v>2291</v>
      </c>
      <c r="B12" s="1854" t="s">
        <v>16</v>
      </c>
      <c r="C12" s="0" t="s">
        <v>2337</v>
      </c>
      <c r="D12" s="0" t="s">
        <v>2338</v>
      </c>
      <c r="E12" s="0" t="s">
        <v>2339</v>
      </c>
      <c r="F12" s="0" t="s">
        <v>2322</v>
      </c>
      <c r="G12" s="0" t="s">
        <v>22</v>
      </c>
      <c r="H12" s="0" t="s">
        <v>22</v>
      </c>
      <c r="I12" s="0" t="s">
        <v>835</v>
      </c>
    </row>
    <row customHeight="1" ht="11.25">
      <c r="A13" s="1854" t="s">
        <v>2291</v>
      </c>
      <c r="B13" s="1854" t="s">
        <v>16</v>
      </c>
      <c r="C13" s="0" t="s">
        <v>2340</v>
      </c>
      <c r="D13" s="0" t="s">
        <v>2341</v>
      </c>
      <c r="E13" s="0" t="s">
        <v>2342</v>
      </c>
      <c r="F13" s="0" t="s">
        <v>2343</v>
      </c>
      <c r="G13" s="0" t="s">
        <v>2344</v>
      </c>
      <c r="H13" s="0" t="s">
        <v>22</v>
      </c>
      <c r="I13" s="0" t="s">
        <v>835</v>
      </c>
    </row>
    <row customHeight="1" ht="11.25">
      <c r="A14" s="1854" t="s">
        <v>2291</v>
      </c>
      <c r="B14" s="1854" t="s">
        <v>16</v>
      </c>
      <c r="C14" s="0" t="s">
        <v>2345</v>
      </c>
      <c r="D14" s="0" t="s">
        <v>2346</v>
      </c>
      <c r="E14" s="0" t="s">
        <v>2347</v>
      </c>
      <c r="F14" s="0" t="s">
        <v>2295</v>
      </c>
      <c r="G14" s="0" t="s">
        <v>22</v>
      </c>
      <c r="H14" s="0" t="s">
        <v>22</v>
      </c>
      <c r="I14" s="0" t="s">
        <v>835</v>
      </c>
    </row>
    <row customHeight="1" ht="11.25">
      <c r="A15" s="1854" t="s">
        <v>2291</v>
      </c>
      <c r="B15" s="1854" t="s">
        <v>16</v>
      </c>
      <c r="C15" s="0" t="s">
        <v>2348</v>
      </c>
      <c r="D15" s="0" t="s">
        <v>2349</v>
      </c>
      <c r="E15" s="0" t="s">
        <v>2350</v>
      </c>
      <c r="F15" s="0" t="s">
        <v>2351</v>
      </c>
      <c r="G15" s="0" t="s">
        <v>22</v>
      </c>
      <c r="H15" s="0" t="s">
        <v>22</v>
      </c>
      <c r="I15" s="0" t="s">
        <v>835</v>
      </c>
    </row>
    <row customHeight="1" ht="11.25">
      <c r="A16" s="1854" t="s">
        <v>2291</v>
      </c>
      <c r="B16" s="1854" t="s">
        <v>16</v>
      </c>
      <c r="C16" s="0" t="s">
        <v>2352</v>
      </c>
      <c r="D16" s="0" t="s">
        <v>2353</v>
      </c>
      <c r="E16" s="0" t="s">
        <v>2354</v>
      </c>
      <c r="F16" s="0" t="s">
        <v>2355</v>
      </c>
      <c r="G16" s="0" t="s">
        <v>22</v>
      </c>
      <c r="H16" s="0" t="s">
        <v>22</v>
      </c>
      <c r="I16" s="0" t="s">
        <v>835</v>
      </c>
    </row>
    <row customHeight="1" ht="11.25">
      <c r="A17" s="1854" t="s">
        <v>2291</v>
      </c>
      <c r="B17" s="1854" t="s">
        <v>16</v>
      </c>
      <c r="C17" s="0" t="s">
        <v>2356</v>
      </c>
      <c r="D17" s="0" t="s">
        <v>2357</v>
      </c>
      <c r="E17" s="0" t="s">
        <v>2358</v>
      </c>
      <c r="F17" s="0" t="s">
        <v>2359</v>
      </c>
      <c r="G17" s="0" t="s">
        <v>22</v>
      </c>
      <c r="H17" s="0" t="s">
        <v>22</v>
      </c>
      <c r="I17" s="0" t="s">
        <v>835</v>
      </c>
    </row>
    <row customHeight="1" ht="11.25">
      <c r="A18" s="1854" t="s">
        <v>2291</v>
      </c>
      <c r="B18" s="1854" t="s">
        <v>16</v>
      </c>
      <c r="C18" s="0" t="s">
        <v>2360</v>
      </c>
      <c r="D18" s="0" t="s">
        <v>2361</v>
      </c>
      <c r="E18" s="0" t="s">
        <v>2362</v>
      </c>
      <c r="F18" s="0" t="s">
        <v>2295</v>
      </c>
      <c r="G18" s="0" t="s">
        <v>22</v>
      </c>
      <c r="H18" s="0" t="s">
        <v>22</v>
      </c>
      <c r="I18" s="0" t="s">
        <v>835</v>
      </c>
    </row>
    <row customHeight="1" ht="11.25">
      <c r="A19" s="1854" t="s">
        <v>2291</v>
      </c>
      <c r="B19" s="1854" t="s">
        <v>16</v>
      </c>
      <c r="C19" s="0" t="s">
        <v>2363</v>
      </c>
      <c r="D19" s="0" t="s">
        <v>2364</v>
      </c>
      <c r="E19" s="0" t="s">
        <v>2365</v>
      </c>
      <c r="F19" s="0" t="s">
        <v>2366</v>
      </c>
      <c r="G19" s="0" t="s">
        <v>22</v>
      </c>
      <c r="H19" s="0" t="s">
        <v>22</v>
      </c>
      <c r="I19" s="0" t="s">
        <v>835</v>
      </c>
    </row>
    <row customHeight="1" ht="11.25">
      <c r="A20" s="1854" t="s">
        <v>2291</v>
      </c>
      <c r="B20" s="1854" t="s">
        <v>16</v>
      </c>
      <c r="C20" s="0" t="s">
        <v>2367</v>
      </c>
      <c r="D20" s="0" t="s">
        <v>2368</v>
      </c>
      <c r="E20" s="0" t="s">
        <v>2365</v>
      </c>
      <c r="F20" s="0" t="s">
        <v>2369</v>
      </c>
      <c r="G20" s="0" t="s">
        <v>2370</v>
      </c>
      <c r="H20" s="0" t="s">
        <v>22</v>
      </c>
      <c r="I20" s="0" t="s">
        <v>835</v>
      </c>
    </row>
    <row customHeight="1" ht="11.25">
      <c r="A21" s="1854" t="s">
        <v>2291</v>
      </c>
      <c r="B21" s="1854" t="s">
        <v>16</v>
      </c>
      <c r="C21" s="0" t="s">
        <v>2371</v>
      </c>
      <c r="D21" s="0" t="s">
        <v>2372</v>
      </c>
      <c r="E21" s="0" t="s">
        <v>2373</v>
      </c>
      <c r="F21" s="0" t="s">
        <v>2318</v>
      </c>
      <c r="G21" s="0" t="s">
        <v>22</v>
      </c>
      <c r="H21" s="0" t="s">
        <v>22</v>
      </c>
      <c r="I21" s="0" t="s">
        <v>835</v>
      </c>
    </row>
    <row customHeight="1" ht="11.25">
      <c r="A22" s="1854" t="s">
        <v>2291</v>
      </c>
      <c r="B22" s="1854" t="s">
        <v>16</v>
      </c>
      <c r="C22" s="0" t="s">
        <v>2374</v>
      </c>
      <c r="D22" s="0" t="s">
        <v>2375</v>
      </c>
      <c r="E22" s="0" t="s">
        <v>2376</v>
      </c>
      <c r="F22" s="0" t="s">
        <v>2377</v>
      </c>
      <c r="G22" s="0" t="s">
        <v>2378</v>
      </c>
      <c r="H22" s="0" t="s">
        <v>22</v>
      </c>
      <c r="I22" s="0" t="s">
        <v>835</v>
      </c>
    </row>
    <row customHeight="1" ht="11.25">
      <c r="A23" s="1854" t="s">
        <v>2291</v>
      </c>
      <c r="B23" s="1854" t="s">
        <v>16</v>
      </c>
      <c r="C23" s="0" t="s">
        <v>2379</v>
      </c>
      <c r="D23" s="0" t="s">
        <v>2380</v>
      </c>
      <c r="E23" s="0" t="s">
        <v>2381</v>
      </c>
      <c r="F23" s="0" t="s">
        <v>2295</v>
      </c>
      <c r="G23" s="0" t="s">
        <v>22</v>
      </c>
      <c r="H23" s="0" t="s">
        <v>22</v>
      </c>
      <c r="I23" s="0" t="s">
        <v>835</v>
      </c>
    </row>
    <row customHeight="1" ht="11.25">
      <c r="A24" s="1854" t="s">
        <v>2291</v>
      </c>
      <c r="B24" s="1854" t="s">
        <v>16</v>
      </c>
      <c r="C24" s="0" t="s">
        <v>2382</v>
      </c>
      <c r="D24" s="0" t="s">
        <v>2383</v>
      </c>
      <c r="E24" s="0" t="s">
        <v>2384</v>
      </c>
      <c r="F24" s="0" t="s">
        <v>2313</v>
      </c>
      <c r="G24" s="0" t="s">
        <v>2385</v>
      </c>
      <c r="H24" s="0" t="s">
        <v>22</v>
      </c>
      <c r="I24" s="0" t="s">
        <v>835</v>
      </c>
    </row>
    <row customHeight="1" ht="11.25">
      <c r="A25" s="1854" t="s">
        <v>2291</v>
      </c>
      <c r="B25" s="1854" t="s">
        <v>16</v>
      </c>
      <c r="C25" s="0" t="s">
        <v>2386</v>
      </c>
      <c r="D25" s="0" t="s">
        <v>2387</v>
      </c>
      <c r="E25" s="0" t="s">
        <v>2388</v>
      </c>
      <c r="F25" s="0" t="s">
        <v>2389</v>
      </c>
      <c r="G25" s="0" t="s">
        <v>22</v>
      </c>
      <c r="H25" s="0" t="s">
        <v>22</v>
      </c>
      <c r="I25" s="0" t="s">
        <v>835</v>
      </c>
    </row>
    <row customHeight="1" ht="11.25">
      <c r="A26" s="1854" t="s">
        <v>2291</v>
      </c>
      <c r="B26" s="1854" t="s">
        <v>16</v>
      </c>
      <c r="C26" s="0" t="s">
        <v>2390</v>
      </c>
      <c r="D26" s="0" t="s">
        <v>2391</v>
      </c>
      <c r="E26" s="0" t="s">
        <v>2392</v>
      </c>
      <c r="F26" s="0" t="s">
        <v>2393</v>
      </c>
      <c r="G26" s="0" t="s">
        <v>2394</v>
      </c>
      <c r="H26" s="0" t="s">
        <v>22</v>
      </c>
      <c r="I26" s="0" t="s">
        <v>835</v>
      </c>
    </row>
    <row customHeight="1" ht="11.25">
      <c r="A27" s="1854" t="s">
        <v>2291</v>
      </c>
      <c r="B27" s="1854" t="s">
        <v>16</v>
      </c>
      <c r="C27" s="0" t="s">
        <v>2395</v>
      </c>
      <c r="D27" s="0" t="s">
        <v>2396</v>
      </c>
      <c r="E27" s="0" t="s">
        <v>2397</v>
      </c>
      <c r="F27" s="0" t="s">
        <v>2389</v>
      </c>
      <c r="G27" s="0" t="s">
        <v>22</v>
      </c>
      <c r="H27" s="0" t="s">
        <v>22</v>
      </c>
      <c r="I27" s="0" t="s">
        <v>835</v>
      </c>
    </row>
    <row customHeight="1" ht="11.25">
      <c r="A28" s="1854" t="s">
        <v>2291</v>
      </c>
      <c r="B28" s="1854" t="s">
        <v>16</v>
      </c>
      <c r="C28" s="0" t="s">
        <v>2398</v>
      </c>
      <c r="D28" s="0" t="s">
        <v>2399</v>
      </c>
      <c r="E28" s="0" t="s">
        <v>2400</v>
      </c>
      <c r="F28" s="0" t="s">
        <v>2401</v>
      </c>
      <c r="G28" s="0" t="s">
        <v>22</v>
      </c>
      <c r="H28" s="0" t="s">
        <v>22</v>
      </c>
      <c r="I28" s="0" t="s">
        <v>835</v>
      </c>
    </row>
    <row customHeight="1" ht="11.25">
      <c r="A29" s="1854" t="s">
        <v>2291</v>
      </c>
      <c r="B29" s="1854" t="s">
        <v>16</v>
      </c>
      <c r="C29" s="0" t="s">
        <v>2402</v>
      </c>
      <c r="D29" s="0" t="s">
        <v>2403</v>
      </c>
      <c r="E29" s="0" t="s">
        <v>2404</v>
      </c>
      <c r="F29" s="0" t="s">
        <v>2405</v>
      </c>
      <c r="G29" s="0" t="s">
        <v>2406</v>
      </c>
      <c r="H29" s="0" t="s">
        <v>22</v>
      </c>
      <c r="I29" s="0" t="s">
        <v>835</v>
      </c>
    </row>
    <row customHeight="1" ht="11.25">
      <c r="A30" s="1854" t="s">
        <v>2291</v>
      </c>
      <c r="B30" s="1854" t="s">
        <v>16</v>
      </c>
      <c r="C30" s="0" t="s">
        <v>2407</v>
      </c>
      <c r="D30" s="0" t="s">
        <v>2408</v>
      </c>
      <c r="E30" s="0" t="s">
        <v>2409</v>
      </c>
      <c r="F30" s="0" t="s">
        <v>2295</v>
      </c>
      <c r="G30" s="0" t="s">
        <v>22</v>
      </c>
      <c r="H30" s="0" t="s">
        <v>22</v>
      </c>
      <c r="I30" s="0" t="s">
        <v>835</v>
      </c>
    </row>
    <row customHeight="1" ht="11.25">
      <c r="A31" s="1854" t="s">
        <v>2291</v>
      </c>
      <c r="B31" s="1854" t="s">
        <v>16</v>
      </c>
      <c r="C31" s="0" t="s">
        <v>2410</v>
      </c>
      <c r="D31" s="0" t="s">
        <v>2411</v>
      </c>
      <c r="E31" s="0" t="s">
        <v>2412</v>
      </c>
      <c r="F31" s="0" t="s">
        <v>2359</v>
      </c>
      <c r="G31" s="0" t="s">
        <v>22</v>
      </c>
      <c r="H31" s="0" t="s">
        <v>22</v>
      </c>
      <c r="I31" s="0" t="s">
        <v>835</v>
      </c>
    </row>
    <row customHeight="1" ht="11.25">
      <c r="A32" s="1854" t="s">
        <v>2291</v>
      </c>
      <c r="B32" s="1854" t="s">
        <v>16</v>
      </c>
      <c r="C32" s="0" t="s">
        <v>2413</v>
      </c>
      <c r="D32" s="0" t="s">
        <v>2414</v>
      </c>
      <c r="E32" s="0" t="s">
        <v>2415</v>
      </c>
      <c r="F32" s="0" t="s">
        <v>2416</v>
      </c>
      <c r="G32" s="0" t="s">
        <v>22</v>
      </c>
      <c r="H32" s="0" t="s">
        <v>22</v>
      </c>
      <c r="I32" s="0" t="s">
        <v>835</v>
      </c>
    </row>
    <row customHeight="1" ht="11.25">
      <c r="A33" s="1854" t="s">
        <v>2291</v>
      </c>
      <c r="B33" s="1854" t="s">
        <v>16</v>
      </c>
      <c r="C33" s="0" t="s">
        <v>2417</v>
      </c>
      <c r="D33" s="0" t="s">
        <v>2418</v>
      </c>
      <c r="E33" s="0" t="s">
        <v>2419</v>
      </c>
      <c r="F33" s="0" t="s">
        <v>2420</v>
      </c>
      <c r="G33" s="0" t="s">
        <v>2421</v>
      </c>
      <c r="H33" s="0" t="s">
        <v>22</v>
      </c>
      <c r="I33" s="0" t="s">
        <v>835</v>
      </c>
    </row>
    <row customHeight="1" ht="11.25">
      <c r="A34" s="1854" t="s">
        <v>2291</v>
      </c>
      <c r="B34" s="1854" t="s">
        <v>16</v>
      </c>
      <c r="C34" s="0" t="s">
        <v>2422</v>
      </c>
      <c r="D34" s="0" t="s">
        <v>2423</v>
      </c>
      <c r="E34" s="0" t="s">
        <v>2424</v>
      </c>
      <c r="F34" s="0" t="s">
        <v>2425</v>
      </c>
      <c r="G34" s="0" t="s">
        <v>22</v>
      </c>
      <c r="H34" s="0" t="s">
        <v>22</v>
      </c>
      <c r="I34" s="0" t="s">
        <v>835</v>
      </c>
    </row>
    <row customHeight="1" ht="11.25">
      <c r="A35" s="1854" t="s">
        <v>2291</v>
      </c>
      <c r="B35" s="1854" t="s">
        <v>16</v>
      </c>
      <c r="C35" s="0" t="s">
        <v>2426</v>
      </c>
      <c r="D35" s="0" t="s">
        <v>2427</v>
      </c>
      <c r="E35" s="0" t="s">
        <v>2428</v>
      </c>
      <c r="F35" s="0" t="s">
        <v>2309</v>
      </c>
      <c r="G35" s="0" t="s">
        <v>2429</v>
      </c>
      <c r="H35" s="0" t="s">
        <v>22</v>
      </c>
      <c r="I35" s="0" t="s">
        <v>835</v>
      </c>
    </row>
    <row customHeight="1" ht="11.25">
      <c r="A36" s="1854" t="s">
        <v>2291</v>
      </c>
      <c r="B36" s="1854" t="s">
        <v>16</v>
      </c>
      <c r="C36" s="0" t="s">
        <v>2430</v>
      </c>
      <c r="D36" s="0" t="s">
        <v>2431</v>
      </c>
      <c r="E36" s="0" t="s">
        <v>2432</v>
      </c>
      <c r="F36" s="0" t="s">
        <v>2377</v>
      </c>
      <c r="G36" s="0" t="s">
        <v>22</v>
      </c>
      <c r="H36" s="0" t="s">
        <v>22</v>
      </c>
      <c r="I36" s="0" t="s">
        <v>835</v>
      </c>
    </row>
    <row customHeight="1" ht="11.25">
      <c r="A37" s="1854" t="s">
        <v>2291</v>
      </c>
      <c r="B37" s="1854" t="s">
        <v>16</v>
      </c>
      <c r="C37" s="0" t="s">
        <v>2433</v>
      </c>
      <c r="D37" s="0" t="s">
        <v>2434</v>
      </c>
      <c r="E37" s="0" t="s">
        <v>2435</v>
      </c>
      <c r="F37" s="0" t="s">
        <v>2389</v>
      </c>
      <c r="G37" s="0" t="s">
        <v>22</v>
      </c>
      <c r="H37" s="0" t="s">
        <v>22</v>
      </c>
      <c r="I37" s="0" t="s">
        <v>835</v>
      </c>
    </row>
    <row customHeight="1" ht="11.25">
      <c r="A38" s="1854" t="s">
        <v>2291</v>
      </c>
      <c r="B38" s="1854" t="s">
        <v>16</v>
      </c>
      <c r="C38" s="0" t="s">
        <v>2436</v>
      </c>
      <c r="D38" s="0" t="s">
        <v>2437</v>
      </c>
      <c r="E38" s="0" t="s">
        <v>2438</v>
      </c>
      <c r="F38" s="0" t="s">
        <v>2309</v>
      </c>
      <c r="G38" s="0" t="s">
        <v>22</v>
      </c>
      <c r="H38" s="0" t="s">
        <v>22</v>
      </c>
      <c r="I38" s="0" t="s">
        <v>835</v>
      </c>
    </row>
    <row customHeight="1" ht="11.25">
      <c r="A39" s="1854" t="s">
        <v>2291</v>
      </c>
      <c r="B39" s="1854" t="s">
        <v>16</v>
      </c>
      <c r="C39" s="0" t="s">
        <v>2439</v>
      </c>
      <c r="D39" s="0" t="s">
        <v>2440</v>
      </c>
      <c r="E39" s="0" t="s">
        <v>2441</v>
      </c>
      <c r="F39" s="0" t="s">
        <v>2327</v>
      </c>
      <c r="G39" s="0" t="s">
        <v>22</v>
      </c>
      <c r="H39" s="0" t="s">
        <v>22</v>
      </c>
      <c r="I39" s="0" t="s">
        <v>835</v>
      </c>
    </row>
    <row customHeight="1" ht="11.25">
      <c r="A40" s="1854" t="s">
        <v>2291</v>
      </c>
      <c r="B40" s="1854" t="s">
        <v>16</v>
      </c>
      <c r="C40" s="0" t="s">
        <v>2442</v>
      </c>
      <c r="D40" s="0" t="s">
        <v>2443</v>
      </c>
      <c r="E40" s="0" t="s">
        <v>2444</v>
      </c>
      <c r="F40" s="0" t="s">
        <v>2377</v>
      </c>
      <c r="G40" s="0" t="s">
        <v>2445</v>
      </c>
      <c r="H40" s="0" t="s">
        <v>22</v>
      </c>
      <c r="I40" s="0" t="s">
        <v>835</v>
      </c>
    </row>
    <row customHeight="1" ht="11.25">
      <c r="A41" s="1854" t="s">
        <v>2291</v>
      </c>
      <c r="B41" s="1854" t="s">
        <v>16</v>
      </c>
      <c r="C41" s="0" t="s">
        <v>2446</v>
      </c>
      <c r="D41" s="0" t="s">
        <v>2447</v>
      </c>
      <c r="E41" s="0" t="s">
        <v>2448</v>
      </c>
      <c r="F41" s="0" t="s">
        <v>2327</v>
      </c>
      <c r="G41" s="0" t="s">
        <v>22</v>
      </c>
      <c r="H41" s="0" t="s">
        <v>22</v>
      </c>
      <c r="I41" s="0" t="s">
        <v>835</v>
      </c>
    </row>
    <row customHeight="1" ht="11.25">
      <c r="A42" s="1854" t="s">
        <v>2291</v>
      </c>
      <c r="B42" s="1854" t="s">
        <v>16</v>
      </c>
      <c r="C42" s="0" t="s">
        <v>2449</v>
      </c>
      <c r="D42" s="0" t="s">
        <v>2450</v>
      </c>
      <c r="E42" s="0" t="s">
        <v>2451</v>
      </c>
      <c r="F42" s="0" t="s">
        <v>2393</v>
      </c>
      <c r="G42" s="0" t="s">
        <v>22</v>
      </c>
      <c r="H42" s="0" t="s">
        <v>22</v>
      </c>
      <c r="I42" s="0" t="s">
        <v>835</v>
      </c>
    </row>
    <row customHeight="1" ht="11.25">
      <c r="A43" s="1854" t="s">
        <v>2291</v>
      </c>
      <c r="B43" s="1854" t="s">
        <v>16</v>
      </c>
      <c r="C43" s="0" t="s">
        <v>2452</v>
      </c>
      <c r="D43" s="0" t="s">
        <v>2453</v>
      </c>
      <c r="E43" s="0" t="s">
        <v>2454</v>
      </c>
      <c r="F43" s="0" t="s">
        <v>2416</v>
      </c>
      <c r="G43" s="0" t="s">
        <v>2455</v>
      </c>
      <c r="H43" s="0" t="s">
        <v>22</v>
      </c>
      <c r="I43" s="0" t="s">
        <v>835</v>
      </c>
    </row>
    <row customHeight="1" ht="11.25">
      <c r="A44" s="1854" t="s">
        <v>2291</v>
      </c>
      <c r="B44" s="1854" t="s">
        <v>16</v>
      </c>
      <c r="C44" s="0" t="s">
        <v>2456</v>
      </c>
      <c r="D44" s="0" t="s">
        <v>2457</v>
      </c>
      <c r="E44" s="0" t="s">
        <v>2458</v>
      </c>
      <c r="F44" s="0" t="s">
        <v>2405</v>
      </c>
      <c r="G44" s="0" t="s">
        <v>2459</v>
      </c>
      <c r="H44" s="0" t="s">
        <v>22</v>
      </c>
      <c r="I44" s="0" t="s">
        <v>835</v>
      </c>
    </row>
    <row customHeight="1" ht="11.25">
      <c r="A45" s="1854" t="s">
        <v>2291</v>
      </c>
      <c r="B45" s="1854" t="s">
        <v>16</v>
      </c>
      <c r="C45" s="0" t="s">
        <v>2460</v>
      </c>
      <c r="D45" s="0" t="s">
        <v>2461</v>
      </c>
      <c r="E45" s="0" t="s">
        <v>2317</v>
      </c>
      <c r="F45" s="0" t="s">
        <v>2462</v>
      </c>
      <c r="G45" s="0" t="s">
        <v>2463</v>
      </c>
      <c r="H45" s="0" t="s">
        <v>22</v>
      </c>
      <c r="I45" s="0" t="s">
        <v>835</v>
      </c>
    </row>
    <row customHeight="1" ht="11.25">
      <c r="A46" s="1854" t="s">
        <v>2291</v>
      </c>
      <c r="B46" s="1854" t="s">
        <v>16</v>
      </c>
      <c r="C46" s="0" t="s">
        <v>2464</v>
      </c>
      <c r="D46" s="0" t="s">
        <v>2465</v>
      </c>
      <c r="E46" s="0" t="s">
        <v>2466</v>
      </c>
      <c r="F46" s="0" t="s">
        <v>2467</v>
      </c>
      <c r="G46" s="0" t="s">
        <v>2468</v>
      </c>
      <c r="H46" s="0" t="s">
        <v>22</v>
      </c>
      <c r="I46" s="0" t="s">
        <v>835</v>
      </c>
    </row>
    <row customHeight="1" ht="11.25">
      <c r="A47" s="1854" t="s">
        <v>2291</v>
      </c>
      <c r="B47" s="1854" t="s">
        <v>16</v>
      </c>
      <c r="C47" s="0" t="s">
        <v>2469</v>
      </c>
      <c r="D47" s="0" t="s">
        <v>2470</v>
      </c>
      <c r="E47" s="0" t="s">
        <v>2471</v>
      </c>
      <c r="F47" s="0" t="s">
        <v>2467</v>
      </c>
      <c r="G47" s="0" t="s">
        <v>2472</v>
      </c>
      <c r="H47" s="0" t="s">
        <v>22</v>
      </c>
      <c r="I47" s="0" t="s">
        <v>835</v>
      </c>
    </row>
    <row customHeight="1" ht="11.25">
      <c r="A48" s="1854" t="s">
        <v>2291</v>
      </c>
      <c r="B48" s="1854" t="s">
        <v>16</v>
      </c>
      <c r="C48" s="0" t="s">
        <v>2473</v>
      </c>
      <c r="D48" s="0" t="s">
        <v>2474</v>
      </c>
      <c r="E48" s="0" t="s">
        <v>2475</v>
      </c>
      <c r="F48" s="0" t="s">
        <v>2476</v>
      </c>
      <c r="G48" s="0" t="s">
        <v>22</v>
      </c>
      <c r="H48" s="0" t="s">
        <v>22</v>
      </c>
      <c r="I48" s="0" t="s">
        <v>835</v>
      </c>
    </row>
    <row customHeight="1" ht="11.25">
      <c r="A49" s="1854" t="s">
        <v>2291</v>
      </c>
      <c r="B49" s="1854" t="s">
        <v>16</v>
      </c>
      <c r="C49" s="0" t="s">
        <v>2477</v>
      </c>
      <c r="D49" s="0" t="s">
        <v>2478</v>
      </c>
      <c r="E49" s="0" t="s">
        <v>2479</v>
      </c>
      <c r="F49" s="0" t="s">
        <v>2295</v>
      </c>
      <c r="G49" s="0" t="s">
        <v>22</v>
      </c>
      <c r="H49" s="0" t="s">
        <v>22</v>
      </c>
      <c r="I49" s="0" t="s">
        <v>835</v>
      </c>
    </row>
    <row customHeight="1" ht="11.25">
      <c r="A50" s="1854" t="s">
        <v>2291</v>
      </c>
      <c r="B50" s="1854" t="s">
        <v>16</v>
      </c>
      <c r="C50" s="0" t="s">
        <v>2480</v>
      </c>
      <c r="D50" s="0" t="s">
        <v>2481</v>
      </c>
      <c r="E50" s="0" t="s">
        <v>2482</v>
      </c>
      <c r="F50" s="0" t="s">
        <v>2467</v>
      </c>
      <c r="G50" s="0" t="s">
        <v>22</v>
      </c>
      <c r="H50" s="0" t="s">
        <v>22</v>
      </c>
      <c r="I50" s="0" t="s">
        <v>835</v>
      </c>
    </row>
    <row customHeight="1" ht="11.25">
      <c r="A51" s="1854" t="s">
        <v>2291</v>
      </c>
      <c r="B51" s="1854" t="s">
        <v>16</v>
      </c>
      <c r="C51" s="0" t="s">
        <v>2483</v>
      </c>
      <c r="D51" s="0" t="s">
        <v>2484</v>
      </c>
      <c r="E51" s="0" t="s">
        <v>2485</v>
      </c>
      <c r="F51" s="0" t="s">
        <v>2486</v>
      </c>
      <c r="G51" s="0" t="s">
        <v>22</v>
      </c>
      <c r="H51" s="0" t="s">
        <v>22</v>
      </c>
      <c r="I51" s="0" t="s">
        <v>835</v>
      </c>
    </row>
    <row customHeight="1" ht="11.25">
      <c r="A52" s="1854" t="s">
        <v>2291</v>
      </c>
      <c r="B52" s="1854" t="s">
        <v>16</v>
      </c>
      <c r="C52" s="0" t="s">
        <v>2487</v>
      </c>
      <c r="D52" s="0" t="s">
        <v>2488</v>
      </c>
      <c r="E52" s="0" t="s">
        <v>2489</v>
      </c>
      <c r="F52" s="0" t="s">
        <v>2393</v>
      </c>
      <c r="G52" s="0" t="s">
        <v>2490</v>
      </c>
      <c r="H52" s="0" t="s">
        <v>22</v>
      </c>
      <c r="I52" s="0" t="s">
        <v>835</v>
      </c>
    </row>
    <row customHeight="1" ht="11.25">
      <c r="A53" s="1854" t="s">
        <v>2291</v>
      </c>
      <c r="B53" s="1854" t="s">
        <v>16</v>
      </c>
      <c r="C53" s="0" t="s">
        <v>2491</v>
      </c>
      <c r="D53" s="0" t="s">
        <v>2492</v>
      </c>
      <c r="E53" s="0" t="s">
        <v>2489</v>
      </c>
      <c r="F53" s="0" t="s">
        <v>2493</v>
      </c>
      <c r="G53" s="0" t="s">
        <v>22</v>
      </c>
      <c r="H53" s="0" t="s">
        <v>22</v>
      </c>
      <c r="I53" s="0" t="s">
        <v>835</v>
      </c>
    </row>
    <row customHeight="1" ht="11.25">
      <c r="A54" s="1854" t="s">
        <v>2291</v>
      </c>
      <c r="B54" s="1854" t="s">
        <v>16</v>
      </c>
      <c r="C54" s="0" t="s">
        <v>2494</v>
      </c>
      <c r="D54" s="0" t="s">
        <v>2495</v>
      </c>
      <c r="E54" s="0" t="s">
        <v>2489</v>
      </c>
      <c r="F54" s="0" t="s">
        <v>2496</v>
      </c>
      <c r="G54" s="0" t="s">
        <v>22</v>
      </c>
      <c r="H54" s="0" t="s">
        <v>22</v>
      </c>
      <c r="I54" s="0" t="s">
        <v>835</v>
      </c>
    </row>
    <row customHeight="1" ht="11.25">
      <c r="A55" s="1854" t="s">
        <v>2291</v>
      </c>
      <c r="B55" s="1854" t="s">
        <v>16</v>
      </c>
      <c r="C55" s="0" t="s">
        <v>2497</v>
      </c>
      <c r="D55" s="0" t="s">
        <v>2498</v>
      </c>
      <c r="E55" s="0" t="s">
        <v>2489</v>
      </c>
      <c r="F55" s="0" t="s">
        <v>2499</v>
      </c>
      <c r="G55" s="0" t="s">
        <v>22</v>
      </c>
      <c r="H55" s="0" t="s">
        <v>22</v>
      </c>
      <c r="I55" s="0" t="s">
        <v>835</v>
      </c>
    </row>
    <row customHeight="1" ht="11.25">
      <c r="A56" s="1854" t="s">
        <v>2291</v>
      </c>
      <c r="B56" s="1854" t="s">
        <v>16</v>
      </c>
      <c r="C56" s="0" t="s">
        <v>2500</v>
      </c>
      <c r="D56" s="0" t="s">
        <v>2501</v>
      </c>
      <c r="E56" s="0" t="s">
        <v>2489</v>
      </c>
      <c r="F56" s="0" t="s">
        <v>2502</v>
      </c>
      <c r="G56" s="0" t="s">
        <v>22</v>
      </c>
      <c r="H56" s="0" t="s">
        <v>22</v>
      </c>
      <c r="I56" s="0" t="s">
        <v>835</v>
      </c>
    </row>
    <row customHeight="1" ht="11.25">
      <c r="A57" s="1854" t="s">
        <v>2291</v>
      </c>
      <c r="B57" s="1854" t="s">
        <v>16</v>
      </c>
      <c r="C57" s="0" t="s">
        <v>2503</v>
      </c>
      <c r="D57" s="0" t="s">
        <v>2504</v>
      </c>
      <c r="E57" s="0" t="s">
        <v>2489</v>
      </c>
      <c r="F57" s="0" t="s">
        <v>2505</v>
      </c>
      <c r="G57" s="0" t="s">
        <v>22</v>
      </c>
      <c r="H57" s="0" t="s">
        <v>22</v>
      </c>
      <c r="I57" s="0" t="s">
        <v>835</v>
      </c>
    </row>
    <row customHeight="1" ht="11.25">
      <c r="A58" s="1854" t="s">
        <v>2291</v>
      </c>
      <c r="B58" s="1854" t="s">
        <v>16</v>
      </c>
      <c r="C58" s="0" t="s">
        <v>2506</v>
      </c>
      <c r="D58" s="0" t="s">
        <v>2507</v>
      </c>
      <c r="E58" s="0" t="s">
        <v>2489</v>
      </c>
      <c r="F58" s="0" t="s">
        <v>2508</v>
      </c>
      <c r="G58" s="0" t="s">
        <v>22</v>
      </c>
      <c r="H58" s="0" t="s">
        <v>22</v>
      </c>
      <c r="I58" s="0" t="s">
        <v>835</v>
      </c>
    </row>
    <row customHeight="1" ht="11.25">
      <c r="A59" s="1854" t="s">
        <v>2291</v>
      </c>
      <c r="B59" s="1854" t="s">
        <v>16</v>
      </c>
      <c r="C59" s="0" t="s">
        <v>2509</v>
      </c>
      <c r="D59" s="0" t="s">
        <v>2510</v>
      </c>
      <c r="E59" s="0" t="s">
        <v>2489</v>
      </c>
      <c r="F59" s="0" t="s">
        <v>2511</v>
      </c>
      <c r="G59" s="0" t="s">
        <v>22</v>
      </c>
      <c r="H59" s="0" t="s">
        <v>22</v>
      </c>
      <c r="I59" s="0" t="s">
        <v>835</v>
      </c>
    </row>
    <row customHeight="1" ht="11.25">
      <c r="A60" s="1854" t="s">
        <v>2291</v>
      </c>
      <c r="B60" s="1854" t="s">
        <v>16</v>
      </c>
      <c r="C60" s="0" t="s">
        <v>2512</v>
      </c>
      <c r="D60" s="0" t="s">
        <v>2513</v>
      </c>
      <c r="E60" s="0" t="s">
        <v>2489</v>
      </c>
      <c r="F60" s="0" t="s">
        <v>2514</v>
      </c>
      <c r="G60" s="0" t="s">
        <v>22</v>
      </c>
      <c r="H60" s="0" t="s">
        <v>22</v>
      </c>
      <c r="I60" s="0" t="s">
        <v>835</v>
      </c>
    </row>
    <row customHeight="1" ht="11.25">
      <c r="A61" s="1854" t="s">
        <v>2291</v>
      </c>
      <c r="B61" s="1854" t="s">
        <v>16</v>
      </c>
      <c r="C61" s="0" t="s">
        <v>2515</v>
      </c>
      <c r="D61" s="0" t="s">
        <v>2516</v>
      </c>
      <c r="E61" s="0" t="s">
        <v>2489</v>
      </c>
      <c r="F61" s="0" t="s">
        <v>2517</v>
      </c>
      <c r="G61" s="0" t="s">
        <v>22</v>
      </c>
      <c r="H61" s="0" t="s">
        <v>22</v>
      </c>
      <c r="I61" s="0" t="s">
        <v>835</v>
      </c>
    </row>
    <row customHeight="1" ht="11.25">
      <c r="A62" s="1854" t="s">
        <v>2291</v>
      </c>
      <c r="B62" s="1854" t="s">
        <v>16</v>
      </c>
      <c r="C62" s="0" t="s">
        <v>2518</v>
      </c>
      <c r="D62" s="0" t="s">
        <v>2519</v>
      </c>
      <c r="E62" s="0" t="s">
        <v>2489</v>
      </c>
      <c r="F62" s="0" t="s">
        <v>2520</v>
      </c>
      <c r="G62" s="0" t="s">
        <v>22</v>
      </c>
      <c r="H62" s="0" t="s">
        <v>22</v>
      </c>
      <c r="I62" s="0" t="s">
        <v>835</v>
      </c>
    </row>
    <row customHeight="1" ht="11.25">
      <c r="A63" s="1854" t="s">
        <v>2291</v>
      </c>
      <c r="B63" s="1854" t="s">
        <v>16</v>
      </c>
      <c r="C63" s="0" t="s">
        <v>2521</v>
      </c>
      <c r="D63" s="0" t="s">
        <v>2522</v>
      </c>
      <c r="E63" s="0" t="s">
        <v>2489</v>
      </c>
      <c r="F63" s="0" t="s">
        <v>2523</v>
      </c>
      <c r="G63" s="0" t="s">
        <v>22</v>
      </c>
      <c r="H63" s="0" t="s">
        <v>22</v>
      </c>
      <c r="I63" s="0" t="s">
        <v>835</v>
      </c>
    </row>
    <row customHeight="1" ht="11.25">
      <c r="A64" s="1854" t="s">
        <v>2291</v>
      </c>
      <c r="B64" s="1854" t="s">
        <v>16</v>
      </c>
      <c r="C64" s="0" t="s">
        <v>2524</v>
      </c>
      <c r="D64" s="0" t="s">
        <v>2525</v>
      </c>
      <c r="E64" s="0" t="s">
        <v>2489</v>
      </c>
      <c r="F64" s="0" t="s">
        <v>2526</v>
      </c>
      <c r="G64" s="0" t="s">
        <v>22</v>
      </c>
      <c r="H64" s="0" t="s">
        <v>22</v>
      </c>
      <c r="I64" s="0" t="s">
        <v>835</v>
      </c>
    </row>
    <row customHeight="1" ht="11.25">
      <c r="A65" s="1854" t="s">
        <v>2291</v>
      </c>
      <c r="B65" s="1854" t="s">
        <v>16</v>
      </c>
      <c r="C65" s="0" t="s">
        <v>2527</v>
      </c>
      <c r="D65" s="0" t="s">
        <v>2528</v>
      </c>
      <c r="E65" s="0" t="s">
        <v>2489</v>
      </c>
      <c r="F65" s="0" t="s">
        <v>2529</v>
      </c>
      <c r="G65" s="0" t="s">
        <v>22</v>
      </c>
      <c r="H65" s="0" t="s">
        <v>22</v>
      </c>
      <c r="I65" s="0" t="s">
        <v>835</v>
      </c>
    </row>
    <row customHeight="1" ht="11.25">
      <c r="A66" s="1854" t="s">
        <v>2291</v>
      </c>
      <c r="B66" s="1854" t="s">
        <v>16</v>
      </c>
      <c r="C66" s="0" t="s">
        <v>2530</v>
      </c>
      <c r="D66" s="0" t="s">
        <v>2531</v>
      </c>
      <c r="E66" s="0" t="s">
        <v>2532</v>
      </c>
      <c r="F66" s="0" t="s">
        <v>2313</v>
      </c>
      <c r="G66" s="0" t="s">
        <v>2533</v>
      </c>
      <c r="H66" s="0" t="s">
        <v>2534</v>
      </c>
      <c r="I66" s="0" t="s">
        <v>835</v>
      </c>
    </row>
    <row customHeight="1" ht="11.25">
      <c r="A67" s="1854" t="s">
        <v>2291</v>
      </c>
      <c r="B67" s="1854" t="s">
        <v>16</v>
      </c>
      <c r="C67" s="0" t="s">
        <v>2535</v>
      </c>
      <c r="D67" s="0" t="s">
        <v>2536</v>
      </c>
      <c r="E67" s="0" t="s">
        <v>2537</v>
      </c>
      <c r="F67" s="0" t="s">
        <v>2405</v>
      </c>
      <c r="G67" s="0" t="s">
        <v>2538</v>
      </c>
      <c r="H67" s="0" t="s">
        <v>22</v>
      </c>
      <c r="I67" s="0" t="s">
        <v>835</v>
      </c>
    </row>
    <row customHeight="1" ht="11.25">
      <c r="A68" s="1854" t="s">
        <v>2291</v>
      </c>
      <c r="B68" s="1854" t="s">
        <v>16</v>
      </c>
      <c r="C68" s="0" t="s">
        <v>2539</v>
      </c>
      <c r="D68" s="0" t="s">
        <v>2540</v>
      </c>
      <c r="E68" s="0" t="s">
        <v>2541</v>
      </c>
      <c r="F68" s="0" t="s">
        <v>2295</v>
      </c>
      <c r="G68" s="0" t="s">
        <v>2421</v>
      </c>
      <c r="H68" s="0" t="s">
        <v>22</v>
      </c>
      <c r="I68" s="0" t="s">
        <v>835</v>
      </c>
    </row>
    <row customHeight="1" ht="11.25">
      <c r="A69" s="1854" t="s">
        <v>2291</v>
      </c>
      <c r="B69" s="1854" t="s">
        <v>16</v>
      </c>
      <c r="C69" s="0" t="s">
        <v>2542</v>
      </c>
      <c r="D69" s="0" t="s">
        <v>2543</v>
      </c>
      <c r="E69" s="0" t="s">
        <v>2544</v>
      </c>
      <c r="F69" s="0" t="s">
        <v>2295</v>
      </c>
      <c r="G69" s="0" t="s">
        <v>22</v>
      </c>
      <c r="H69" s="0" t="s">
        <v>22</v>
      </c>
      <c r="I69" s="0" t="s">
        <v>835</v>
      </c>
    </row>
    <row customHeight="1" ht="11.25">
      <c r="A70" s="1854" t="s">
        <v>2291</v>
      </c>
      <c r="B70" s="1854" t="s">
        <v>16</v>
      </c>
      <c r="C70" s="0" t="s">
        <v>2545</v>
      </c>
      <c r="D70" s="0" t="s">
        <v>2546</v>
      </c>
      <c r="E70" s="0" t="s">
        <v>2547</v>
      </c>
      <c r="F70" s="0" t="s">
        <v>2313</v>
      </c>
      <c r="G70" s="0" t="s">
        <v>2548</v>
      </c>
      <c r="H70" s="0" t="s">
        <v>22</v>
      </c>
      <c r="I70" s="0" t="s">
        <v>835</v>
      </c>
    </row>
    <row customHeight="1" ht="11.25">
      <c r="A71" s="1854" t="s">
        <v>2291</v>
      </c>
      <c r="B71" s="1854" t="s">
        <v>16</v>
      </c>
      <c r="C71" s="0" t="s">
        <v>2549</v>
      </c>
      <c r="D71" s="0" t="s">
        <v>2550</v>
      </c>
      <c r="E71" s="0" t="s">
        <v>2551</v>
      </c>
      <c r="F71" s="0" t="s">
        <v>2401</v>
      </c>
      <c r="G71" s="0" t="s">
        <v>22</v>
      </c>
      <c r="H71" s="0" t="s">
        <v>22</v>
      </c>
      <c r="I71" s="0" t="s">
        <v>835</v>
      </c>
    </row>
    <row customHeight="1" ht="11.25">
      <c r="A72" s="1854" t="s">
        <v>2291</v>
      </c>
      <c r="B72" s="1854" t="s">
        <v>16</v>
      </c>
      <c r="C72" s="0" t="s">
        <v>2552</v>
      </c>
      <c r="D72" s="0" t="s">
        <v>2553</v>
      </c>
      <c r="E72" s="0" t="s">
        <v>2551</v>
      </c>
      <c r="F72" s="0" t="s">
        <v>2526</v>
      </c>
      <c r="G72" s="0" t="s">
        <v>22</v>
      </c>
      <c r="H72" s="0" t="s">
        <v>22</v>
      </c>
      <c r="I72" s="0" t="s">
        <v>835</v>
      </c>
    </row>
    <row customHeight="1" ht="11.25">
      <c r="A73" s="1854" t="s">
        <v>2291</v>
      </c>
      <c r="B73" s="1854" t="s">
        <v>16</v>
      </c>
      <c r="C73" s="0" t="s">
        <v>2554</v>
      </c>
      <c r="D73" s="0" t="s">
        <v>2555</v>
      </c>
      <c r="E73" s="0" t="s">
        <v>2551</v>
      </c>
      <c r="F73" s="0" t="s">
        <v>2556</v>
      </c>
      <c r="G73" s="0" t="s">
        <v>22</v>
      </c>
      <c r="H73" s="0" t="s">
        <v>22</v>
      </c>
      <c r="I73" s="0" t="s">
        <v>835</v>
      </c>
    </row>
    <row customHeight="1" ht="11.25">
      <c r="A74" s="1854" t="s">
        <v>2291</v>
      </c>
      <c r="B74" s="1854" t="s">
        <v>16</v>
      </c>
      <c r="C74" s="0" t="s">
        <v>2557</v>
      </c>
      <c r="D74" s="0" t="s">
        <v>2558</v>
      </c>
      <c r="E74" s="0" t="s">
        <v>2551</v>
      </c>
      <c r="F74" s="0" t="s">
        <v>2559</v>
      </c>
      <c r="G74" s="0" t="s">
        <v>22</v>
      </c>
      <c r="H74" s="0" t="s">
        <v>22</v>
      </c>
      <c r="I74" s="0" t="s">
        <v>835</v>
      </c>
    </row>
    <row customHeight="1" ht="11.25">
      <c r="A75" s="1854" t="s">
        <v>2291</v>
      </c>
      <c r="B75" s="1854" t="s">
        <v>16</v>
      </c>
      <c r="C75" s="0" t="s">
        <v>2560</v>
      </c>
      <c r="D75" s="0" t="s">
        <v>2561</v>
      </c>
      <c r="E75" s="0" t="s">
        <v>2551</v>
      </c>
      <c r="F75" s="0" t="s">
        <v>2562</v>
      </c>
      <c r="G75" s="0" t="s">
        <v>22</v>
      </c>
      <c r="H75" s="0" t="s">
        <v>22</v>
      </c>
      <c r="I75" s="0" t="s">
        <v>835</v>
      </c>
    </row>
    <row customHeight="1" ht="11.25">
      <c r="A76" s="1854" t="s">
        <v>2291</v>
      </c>
      <c r="B76" s="1854" t="s">
        <v>16</v>
      </c>
      <c r="C76" s="0" t="s">
        <v>2563</v>
      </c>
      <c r="D76" s="0" t="s">
        <v>2564</v>
      </c>
      <c r="E76" s="0" t="s">
        <v>2551</v>
      </c>
      <c r="F76" s="0" t="s">
        <v>2565</v>
      </c>
      <c r="G76" s="0" t="s">
        <v>22</v>
      </c>
      <c r="H76" s="0" t="s">
        <v>22</v>
      </c>
      <c r="I76" s="0" t="s">
        <v>835</v>
      </c>
    </row>
    <row customHeight="1" ht="11.25">
      <c r="A77" s="1854" t="s">
        <v>2291</v>
      </c>
      <c r="B77" s="1854" t="s">
        <v>16</v>
      </c>
      <c r="C77" s="0" t="s">
        <v>2566</v>
      </c>
      <c r="D77" s="0" t="s">
        <v>2567</v>
      </c>
      <c r="E77" s="0" t="s">
        <v>2551</v>
      </c>
      <c r="F77" s="0" t="s">
        <v>2568</v>
      </c>
      <c r="G77" s="0" t="s">
        <v>22</v>
      </c>
      <c r="H77" s="0" t="s">
        <v>22</v>
      </c>
      <c r="I77" s="0" t="s">
        <v>835</v>
      </c>
    </row>
    <row customHeight="1" ht="11.25">
      <c r="A78" s="1854" t="s">
        <v>2291</v>
      </c>
      <c r="B78" s="1854" t="s">
        <v>16</v>
      </c>
      <c r="C78" s="0" t="s">
        <v>2569</v>
      </c>
      <c r="D78" s="0" t="s">
        <v>2570</v>
      </c>
      <c r="E78" s="0" t="s">
        <v>2551</v>
      </c>
      <c r="F78" s="0" t="s">
        <v>2571</v>
      </c>
      <c r="G78" s="0" t="s">
        <v>22</v>
      </c>
      <c r="H78" s="0" t="s">
        <v>22</v>
      </c>
      <c r="I78" s="0" t="s">
        <v>835</v>
      </c>
    </row>
    <row customHeight="1" ht="11.25">
      <c r="A79" s="1854" t="s">
        <v>2291</v>
      </c>
      <c r="B79" s="1854" t="s">
        <v>16</v>
      </c>
      <c r="C79" s="0" t="s">
        <v>2572</v>
      </c>
      <c r="D79" s="0" t="s">
        <v>2573</v>
      </c>
      <c r="E79" s="0" t="s">
        <v>2551</v>
      </c>
      <c r="F79" s="0" t="s">
        <v>2574</v>
      </c>
      <c r="G79" s="0" t="s">
        <v>22</v>
      </c>
      <c r="H79" s="0" t="s">
        <v>22</v>
      </c>
      <c r="I79" s="0" t="s">
        <v>835</v>
      </c>
    </row>
    <row customHeight="1" ht="11.25">
      <c r="A80" s="1854" t="s">
        <v>2291</v>
      </c>
      <c r="B80" s="1854" t="s">
        <v>16</v>
      </c>
      <c r="C80" s="0" t="s">
        <v>2575</v>
      </c>
      <c r="D80" s="0" t="s">
        <v>2576</v>
      </c>
      <c r="E80" s="0" t="s">
        <v>2551</v>
      </c>
      <c r="F80" s="0" t="s">
        <v>2577</v>
      </c>
      <c r="G80" s="0" t="s">
        <v>22</v>
      </c>
      <c r="H80" s="0" t="s">
        <v>22</v>
      </c>
      <c r="I80" s="0" t="s">
        <v>835</v>
      </c>
    </row>
    <row customHeight="1" ht="11.25">
      <c r="A81" s="1854" t="s">
        <v>2291</v>
      </c>
      <c r="B81" s="1854" t="s">
        <v>16</v>
      </c>
      <c r="C81" s="0" t="s">
        <v>2578</v>
      </c>
      <c r="D81" s="0" t="s">
        <v>2579</v>
      </c>
      <c r="E81" s="0" t="s">
        <v>2551</v>
      </c>
      <c r="F81" s="0" t="s">
        <v>2580</v>
      </c>
      <c r="G81" s="0" t="s">
        <v>22</v>
      </c>
      <c r="H81" s="0" t="s">
        <v>22</v>
      </c>
      <c r="I81" s="0" t="s">
        <v>835</v>
      </c>
    </row>
    <row customHeight="1" ht="11.25">
      <c r="A82" s="1854" t="s">
        <v>2291</v>
      </c>
      <c r="B82" s="1854" t="s">
        <v>16</v>
      </c>
      <c r="C82" s="0" t="s">
        <v>2581</v>
      </c>
      <c r="D82" s="0" t="s">
        <v>2582</v>
      </c>
      <c r="E82" s="0" t="s">
        <v>2551</v>
      </c>
      <c r="F82" s="0" t="s">
        <v>2583</v>
      </c>
      <c r="G82" s="0" t="s">
        <v>22</v>
      </c>
      <c r="H82" s="0" t="s">
        <v>22</v>
      </c>
      <c r="I82" s="0" t="s">
        <v>835</v>
      </c>
    </row>
    <row customHeight="1" ht="11.25">
      <c r="A83" s="1854" t="s">
        <v>2291</v>
      </c>
      <c r="B83" s="1854" t="s">
        <v>16</v>
      </c>
      <c r="C83" s="0" t="s">
        <v>2584</v>
      </c>
      <c r="D83" s="0" t="s">
        <v>2585</v>
      </c>
      <c r="E83" s="0" t="s">
        <v>2551</v>
      </c>
      <c r="F83" s="0" t="s">
        <v>2586</v>
      </c>
      <c r="G83" s="0" t="s">
        <v>22</v>
      </c>
      <c r="H83" s="0" t="s">
        <v>22</v>
      </c>
      <c r="I83" s="0" t="s">
        <v>835</v>
      </c>
    </row>
    <row customHeight="1" ht="11.25">
      <c r="A84" s="1854" t="s">
        <v>2291</v>
      </c>
      <c r="B84" s="1854" t="s">
        <v>16</v>
      </c>
      <c r="C84" s="0" t="s">
        <v>2587</v>
      </c>
      <c r="D84" s="0" t="s">
        <v>2588</v>
      </c>
      <c r="E84" s="0" t="s">
        <v>2551</v>
      </c>
      <c r="F84" s="0" t="s">
        <v>2589</v>
      </c>
      <c r="G84" s="0" t="s">
        <v>22</v>
      </c>
      <c r="H84" s="0" t="s">
        <v>22</v>
      </c>
      <c r="I84" s="0" t="s">
        <v>835</v>
      </c>
    </row>
    <row customHeight="1" ht="11.25">
      <c r="A85" s="1854" t="s">
        <v>2291</v>
      </c>
      <c r="B85" s="1854" t="s">
        <v>16</v>
      </c>
      <c r="C85" s="0" t="s">
        <v>2590</v>
      </c>
      <c r="D85" s="0" t="s">
        <v>2591</v>
      </c>
      <c r="E85" s="0" t="s">
        <v>2551</v>
      </c>
      <c r="F85" s="0" t="s">
        <v>2592</v>
      </c>
      <c r="G85" s="0" t="s">
        <v>22</v>
      </c>
      <c r="H85" s="0" t="s">
        <v>22</v>
      </c>
      <c r="I85" s="0" t="s">
        <v>835</v>
      </c>
    </row>
    <row customHeight="1" ht="11.25">
      <c r="A86" s="1854" t="s">
        <v>2291</v>
      </c>
      <c r="B86" s="1854" t="s">
        <v>16</v>
      </c>
      <c r="C86" s="0" t="s">
        <v>2593</v>
      </c>
      <c r="D86" s="0" t="s">
        <v>2594</v>
      </c>
      <c r="E86" s="0" t="s">
        <v>2551</v>
      </c>
      <c r="F86" s="0" t="s">
        <v>2595</v>
      </c>
      <c r="G86" s="0" t="s">
        <v>22</v>
      </c>
      <c r="H86" s="0" t="s">
        <v>22</v>
      </c>
      <c r="I86" s="0" t="s">
        <v>835</v>
      </c>
    </row>
    <row customHeight="1" ht="11.25">
      <c r="A87" s="1854" t="s">
        <v>2291</v>
      </c>
      <c r="B87" s="1854" t="s">
        <v>16</v>
      </c>
      <c r="C87" s="0" t="s">
        <v>2596</v>
      </c>
      <c r="D87" s="0" t="s">
        <v>2597</v>
      </c>
      <c r="E87" s="0" t="s">
        <v>2551</v>
      </c>
      <c r="F87" s="0" t="s">
        <v>2598</v>
      </c>
      <c r="G87" s="0" t="s">
        <v>22</v>
      </c>
      <c r="H87" s="0" t="s">
        <v>22</v>
      </c>
      <c r="I87" s="0" t="s">
        <v>835</v>
      </c>
    </row>
    <row customHeight="1" ht="11.25">
      <c r="A88" s="1854" t="s">
        <v>2291</v>
      </c>
      <c r="B88" s="1854" t="s">
        <v>16</v>
      </c>
      <c r="C88" s="0" t="s">
        <v>2599</v>
      </c>
      <c r="D88" s="0" t="s">
        <v>2600</v>
      </c>
      <c r="E88" s="0" t="s">
        <v>2373</v>
      </c>
      <c r="F88" s="0" t="s">
        <v>2601</v>
      </c>
      <c r="G88" s="0" t="s">
        <v>22</v>
      </c>
      <c r="H88" s="0" t="s">
        <v>22</v>
      </c>
      <c r="I88" s="0" t="s">
        <v>835</v>
      </c>
    </row>
    <row customHeight="1" ht="11.25">
      <c r="A89" s="1854" t="s">
        <v>2291</v>
      </c>
      <c r="B89" s="1854" t="s">
        <v>16</v>
      </c>
      <c r="C89" s="0" t="s">
        <v>2602</v>
      </c>
      <c r="D89" s="0" t="s">
        <v>2603</v>
      </c>
      <c r="E89" s="0" t="s">
        <v>2604</v>
      </c>
      <c r="F89" s="0" t="s">
        <v>2605</v>
      </c>
      <c r="G89" s="0" t="s">
        <v>22</v>
      </c>
      <c r="H89" s="0" t="s">
        <v>22</v>
      </c>
      <c r="I89" s="0" t="s">
        <v>835</v>
      </c>
    </row>
    <row customHeight="1" ht="11.25">
      <c r="A90" s="1854" t="s">
        <v>2291</v>
      </c>
      <c r="B90" s="1854" t="s">
        <v>16</v>
      </c>
      <c r="C90" s="0" t="s">
        <v>2606</v>
      </c>
      <c r="D90" s="0" t="s">
        <v>2607</v>
      </c>
      <c r="E90" s="0" t="s">
        <v>2608</v>
      </c>
      <c r="F90" s="0" t="s">
        <v>2359</v>
      </c>
      <c r="G90" s="0" t="s">
        <v>22</v>
      </c>
      <c r="H90" s="0" t="s">
        <v>22</v>
      </c>
      <c r="I90" s="0" t="s">
        <v>835</v>
      </c>
    </row>
    <row customHeight="1" ht="11.25">
      <c r="A91" s="1854" t="s">
        <v>2291</v>
      </c>
      <c r="B91" s="1854" t="s">
        <v>16</v>
      </c>
      <c r="C91" s="0" t="s">
        <v>2609</v>
      </c>
      <c r="D91" s="0" t="s">
        <v>2610</v>
      </c>
      <c r="E91" s="0" t="s">
        <v>2611</v>
      </c>
      <c r="F91" s="0" t="s">
        <v>2401</v>
      </c>
      <c r="G91" s="0" t="s">
        <v>22</v>
      </c>
      <c r="H91" s="0" t="s">
        <v>22</v>
      </c>
      <c r="I91" s="0" t="s">
        <v>835</v>
      </c>
    </row>
    <row customHeight="1" ht="11.25">
      <c r="A92" s="1854" t="s">
        <v>2291</v>
      </c>
      <c r="B92" s="1854" t="s">
        <v>16</v>
      </c>
      <c r="C92" s="0" t="s">
        <v>2612</v>
      </c>
      <c r="D92" s="0" t="s">
        <v>2613</v>
      </c>
      <c r="E92" s="0" t="s">
        <v>2614</v>
      </c>
      <c r="F92" s="0" t="s">
        <v>2393</v>
      </c>
      <c r="G92" s="0" t="s">
        <v>22</v>
      </c>
      <c r="H92" s="0" t="s">
        <v>22</v>
      </c>
      <c r="I92" s="0" t="s">
        <v>835</v>
      </c>
    </row>
    <row customHeight="1" ht="11.25">
      <c r="A93" s="1854" t="s">
        <v>2291</v>
      </c>
      <c r="B93" s="1854" t="s">
        <v>16</v>
      </c>
      <c r="C93" s="0" t="s">
        <v>2615</v>
      </c>
      <c r="D93" s="0" t="s">
        <v>2616</v>
      </c>
      <c r="E93" s="0" t="s">
        <v>2617</v>
      </c>
      <c r="F93" s="0" t="s">
        <v>2405</v>
      </c>
      <c r="G93" s="0" t="s">
        <v>22</v>
      </c>
      <c r="H93" s="0" t="s">
        <v>22</v>
      </c>
      <c r="I93" s="0" t="s">
        <v>835</v>
      </c>
    </row>
    <row customHeight="1" ht="11.25">
      <c r="A94" s="1854" t="s">
        <v>2291</v>
      </c>
      <c r="B94" s="1854" t="s">
        <v>16</v>
      </c>
      <c r="C94" s="0" t="s">
        <v>2618</v>
      </c>
      <c r="D94" s="0" t="s">
        <v>2619</v>
      </c>
      <c r="E94" s="0" t="s">
        <v>2620</v>
      </c>
      <c r="F94" s="0" t="s">
        <v>2621</v>
      </c>
      <c r="G94" s="0" t="s">
        <v>22</v>
      </c>
      <c r="H94" s="0" t="s">
        <v>22</v>
      </c>
      <c r="I94" s="0" t="s">
        <v>835</v>
      </c>
    </row>
    <row customHeight="1" ht="11.25">
      <c r="A95" s="1854" t="s">
        <v>2291</v>
      </c>
      <c r="B95" s="1854" t="s">
        <v>16</v>
      </c>
      <c r="C95" s="0" t="s">
        <v>2622</v>
      </c>
      <c r="D95" s="0" t="s">
        <v>2623</v>
      </c>
      <c r="E95" s="0" t="s">
        <v>2624</v>
      </c>
      <c r="F95" s="0" t="s">
        <v>2405</v>
      </c>
      <c r="G95" s="0" t="s">
        <v>2625</v>
      </c>
      <c r="H95" s="0" t="s">
        <v>2534</v>
      </c>
      <c r="I95" s="0" t="s">
        <v>835</v>
      </c>
    </row>
    <row customHeight="1" ht="11.25">
      <c r="A96" s="1854" t="s">
        <v>2291</v>
      </c>
      <c r="B96" s="1854" t="s">
        <v>16</v>
      </c>
      <c r="C96" s="0" t="s">
        <v>2626</v>
      </c>
      <c r="D96" s="0" t="s">
        <v>2627</v>
      </c>
      <c r="E96" s="0" t="s">
        <v>2628</v>
      </c>
      <c r="F96" s="0" t="s">
        <v>2369</v>
      </c>
      <c r="G96" s="0" t="s">
        <v>22</v>
      </c>
      <c r="H96" s="0" t="s">
        <v>22</v>
      </c>
      <c r="I96" s="0" t="s">
        <v>835</v>
      </c>
    </row>
    <row customHeight="1" ht="11.25">
      <c r="A97" s="1854" t="s">
        <v>2291</v>
      </c>
      <c r="B97" s="1854" t="s">
        <v>16</v>
      </c>
      <c r="C97" s="0" t="s">
        <v>2629</v>
      </c>
      <c r="D97" s="0" t="s">
        <v>2630</v>
      </c>
      <c r="E97" s="0" t="s">
        <v>2631</v>
      </c>
      <c r="F97" s="0" t="s">
        <v>2632</v>
      </c>
      <c r="G97" s="0" t="s">
        <v>22</v>
      </c>
      <c r="H97" s="0" t="s">
        <v>22</v>
      </c>
      <c r="I97" s="0" t="s">
        <v>835</v>
      </c>
    </row>
    <row customHeight="1" ht="11.25">
      <c r="A98" s="1854" t="s">
        <v>2291</v>
      </c>
      <c r="B98" s="1854" t="s">
        <v>16</v>
      </c>
      <c r="C98" s="0" t="s">
        <v>2633</v>
      </c>
      <c r="D98" s="0" t="s">
        <v>2634</v>
      </c>
      <c r="E98" s="0" t="s">
        <v>2635</v>
      </c>
      <c r="F98" s="0" t="s">
        <v>2632</v>
      </c>
      <c r="G98" s="0" t="s">
        <v>2636</v>
      </c>
      <c r="H98" s="0" t="s">
        <v>22</v>
      </c>
      <c r="I98" s="0" t="s">
        <v>835</v>
      </c>
    </row>
    <row customHeight="1" ht="11.25">
      <c r="A99" s="1854" t="s">
        <v>2291</v>
      </c>
      <c r="B99" s="1854" t="s">
        <v>16</v>
      </c>
      <c r="C99" s="0" t="s">
        <v>2637</v>
      </c>
      <c r="D99" s="0" t="s">
        <v>2638</v>
      </c>
      <c r="E99" s="0" t="s">
        <v>2639</v>
      </c>
      <c r="F99" s="0" t="s">
        <v>2640</v>
      </c>
      <c r="G99" s="0" t="s">
        <v>2641</v>
      </c>
      <c r="H99" s="0" t="s">
        <v>2642</v>
      </c>
      <c r="I99" s="0" t="s">
        <v>835</v>
      </c>
    </row>
    <row customHeight="1" ht="11.25">
      <c r="A100" s="1854" t="s">
        <v>2291</v>
      </c>
      <c r="B100" s="1854" t="s">
        <v>16</v>
      </c>
      <c r="C100" s="0" t="s">
        <v>2643</v>
      </c>
      <c r="D100" s="0" t="s">
        <v>2644</v>
      </c>
      <c r="E100" s="0" t="s">
        <v>2645</v>
      </c>
      <c r="F100" s="0" t="s">
        <v>2405</v>
      </c>
      <c r="G100" s="0" t="s">
        <v>2646</v>
      </c>
      <c r="H100" s="0" t="s">
        <v>22</v>
      </c>
      <c r="I100" s="0" t="s">
        <v>835</v>
      </c>
    </row>
    <row customHeight="1" ht="11.25">
      <c r="A101" s="1854" t="s">
        <v>2291</v>
      </c>
      <c r="B101" s="1854" t="s">
        <v>16</v>
      </c>
      <c r="C101" s="0" t="s">
        <v>2647</v>
      </c>
      <c r="D101" s="0" t="s">
        <v>2648</v>
      </c>
      <c r="E101" s="0" t="s">
        <v>2649</v>
      </c>
      <c r="F101" s="0" t="s">
        <v>2416</v>
      </c>
      <c r="G101" s="0" t="s">
        <v>22</v>
      </c>
      <c r="H101" s="0" t="s">
        <v>22</v>
      </c>
      <c r="I101" s="0" t="s">
        <v>835</v>
      </c>
    </row>
    <row customHeight="1" ht="11.25">
      <c r="A102" s="1854" t="s">
        <v>2291</v>
      </c>
      <c r="B102" s="1854" t="s">
        <v>16</v>
      </c>
      <c r="C102" s="0" t="s">
        <v>2650</v>
      </c>
      <c r="D102" s="0" t="s">
        <v>2651</v>
      </c>
      <c r="E102" s="0" t="s">
        <v>2652</v>
      </c>
      <c r="F102" s="0" t="s">
        <v>2416</v>
      </c>
      <c r="G102" s="0" t="s">
        <v>2653</v>
      </c>
      <c r="H102" s="0" t="s">
        <v>22</v>
      </c>
      <c r="I102" s="0" t="s">
        <v>835</v>
      </c>
    </row>
    <row customHeight="1" ht="11.25">
      <c r="A103" s="1854" t="s">
        <v>2291</v>
      </c>
      <c r="B103" s="1854" t="s">
        <v>16</v>
      </c>
      <c r="C103" s="0" t="s">
        <v>2654</v>
      </c>
      <c r="D103" s="0" t="s">
        <v>2655</v>
      </c>
      <c r="E103" s="0" t="s">
        <v>2656</v>
      </c>
      <c r="F103" s="0" t="s">
        <v>2393</v>
      </c>
      <c r="G103" s="0" t="s">
        <v>22</v>
      </c>
      <c r="H103" s="0" t="s">
        <v>22</v>
      </c>
      <c r="I103" s="0" t="s">
        <v>835</v>
      </c>
    </row>
    <row customHeight="1" ht="11.25">
      <c r="A104" s="1854" t="s">
        <v>2291</v>
      </c>
      <c r="B104" s="1854" t="s">
        <v>16</v>
      </c>
      <c r="C104" s="0" t="s">
        <v>2657</v>
      </c>
      <c r="D104" s="0" t="s">
        <v>2658</v>
      </c>
      <c r="E104" s="0" t="s">
        <v>2659</v>
      </c>
      <c r="F104" s="0" t="s">
        <v>2416</v>
      </c>
      <c r="G104" s="0" t="s">
        <v>22</v>
      </c>
      <c r="H104" s="0" t="s">
        <v>22</v>
      </c>
      <c r="I104" s="0" t="s">
        <v>835</v>
      </c>
    </row>
    <row customHeight="1" ht="11.25">
      <c r="A105" s="1854" t="s">
        <v>2291</v>
      </c>
      <c r="B105" s="1854" t="s">
        <v>16</v>
      </c>
      <c r="C105" s="0" t="s">
        <v>2660</v>
      </c>
      <c r="D105" s="0" t="s">
        <v>2661</v>
      </c>
      <c r="E105" s="0" t="s">
        <v>2662</v>
      </c>
      <c r="F105" s="0" t="s">
        <v>2425</v>
      </c>
      <c r="G105" s="0" t="s">
        <v>22</v>
      </c>
      <c r="H105" s="0" t="s">
        <v>22</v>
      </c>
      <c r="I105" s="0" t="s">
        <v>835</v>
      </c>
    </row>
    <row customHeight="1" ht="11.25">
      <c r="A106" s="1854" t="s">
        <v>2291</v>
      </c>
      <c r="B106" s="1854" t="s">
        <v>16</v>
      </c>
      <c r="C106" s="0" t="s">
        <v>2663</v>
      </c>
      <c r="D106" s="0" t="s">
        <v>2664</v>
      </c>
      <c r="E106" s="0" t="s">
        <v>2665</v>
      </c>
      <c r="F106" s="0" t="s">
        <v>2359</v>
      </c>
      <c r="G106" s="0" t="s">
        <v>22</v>
      </c>
      <c r="H106" s="0" t="s">
        <v>22</v>
      </c>
      <c r="I106" s="0" t="s">
        <v>835</v>
      </c>
    </row>
    <row customHeight="1" ht="11.25">
      <c r="A107" s="1854" t="s">
        <v>2291</v>
      </c>
      <c r="B107" s="1854" t="s">
        <v>16</v>
      </c>
      <c r="C107" s="0" t="s">
        <v>2666</v>
      </c>
      <c r="D107" s="0" t="s">
        <v>2667</v>
      </c>
      <c r="E107" s="0" t="s">
        <v>2668</v>
      </c>
      <c r="F107" s="0" t="s">
        <v>2327</v>
      </c>
      <c r="G107" s="0" t="s">
        <v>2669</v>
      </c>
      <c r="H107" s="0" t="s">
        <v>22</v>
      </c>
      <c r="I107" s="0" t="s">
        <v>835</v>
      </c>
    </row>
    <row customHeight="1" ht="11.25">
      <c r="A108" s="1854" t="s">
        <v>2291</v>
      </c>
      <c r="B108" s="1854" t="s">
        <v>16</v>
      </c>
      <c r="C108" s="0" t="s">
        <v>2670</v>
      </c>
      <c r="D108" s="0" t="s">
        <v>2671</v>
      </c>
      <c r="E108" s="0" t="s">
        <v>2672</v>
      </c>
      <c r="F108" s="0" t="s">
        <v>2295</v>
      </c>
      <c r="G108" s="0" t="s">
        <v>22</v>
      </c>
      <c r="H108" s="0" t="s">
        <v>22</v>
      </c>
      <c r="I108" s="0" t="s">
        <v>835</v>
      </c>
    </row>
    <row customHeight="1" ht="11.25">
      <c r="A109" s="1854" t="s">
        <v>2291</v>
      </c>
      <c r="B109" s="1854" t="s">
        <v>16</v>
      </c>
      <c r="C109" s="0" t="s">
        <v>2673</v>
      </c>
      <c r="D109" s="0" t="s">
        <v>2674</v>
      </c>
      <c r="E109" s="0" t="s">
        <v>2675</v>
      </c>
      <c r="F109" s="0" t="s">
        <v>2621</v>
      </c>
      <c r="G109" s="0" t="s">
        <v>22</v>
      </c>
      <c r="H109" s="0" t="s">
        <v>22</v>
      </c>
      <c r="I109" s="0" t="s">
        <v>835</v>
      </c>
    </row>
    <row customHeight="1" ht="11.25">
      <c r="A110" s="1854" t="s">
        <v>2291</v>
      </c>
      <c r="B110" s="1854" t="s">
        <v>16</v>
      </c>
      <c r="C110" s="0" t="s">
        <v>2676</v>
      </c>
      <c r="D110" s="0" t="s">
        <v>2677</v>
      </c>
      <c r="E110" s="0" t="s">
        <v>2678</v>
      </c>
      <c r="F110" s="0" t="s">
        <v>2389</v>
      </c>
      <c r="G110" s="0" t="s">
        <v>22</v>
      </c>
      <c r="H110" s="0" t="s">
        <v>22</v>
      </c>
      <c r="I110" s="0" t="s">
        <v>835</v>
      </c>
    </row>
    <row customHeight="1" ht="11.25">
      <c r="A111" s="1854" t="s">
        <v>2291</v>
      </c>
      <c r="B111" s="1854" t="s">
        <v>16</v>
      </c>
      <c r="C111" s="0" t="s">
        <v>2679</v>
      </c>
      <c r="D111" s="0" t="s">
        <v>2680</v>
      </c>
      <c r="E111" s="0" t="s">
        <v>2681</v>
      </c>
      <c r="F111" s="0" t="s">
        <v>2416</v>
      </c>
      <c r="G111" s="0" t="s">
        <v>22</v>
      </c>
      <c r="H111" s="0" t="s">
        <v>22</v>
      </c>
      <c r="I111" s="0" t="s">
        <v>835</v>
      </c>
    </row>
    <row customHeight="1" ht="11.25">
      <c r="A112" s="1854" t="s">
        <v>2291</v>
      </c>
      <c r="B112" s="1854" t="s">
        <v>16</v>
      </c>
      <c r="C112" s="0" t="s">
        <v>2682</v>
      </c>
      <c r="D112" s="0" t="s">
        <v>2683</v>
      </c>
      <c r="E112" s="0" t="s">
        <v>2684</v>
      </c>
      <c r="F112" s="0" t="s">
        <v>2389</v>
      </c>
      <c r="G112" s="0" t="s">
        <v>22</v>
      </c>
      <c r="H112" s="0" t="s">
        <v>22</v>
      </c>
      <c r="I112" s="0" t="s">
        <v>835</v>
      </c>
    </row>
    <row customHeight="1" ht="11.25">
      <c r="A113" s="1854" t="s">
        <v>2291</v>
      </c>
      <c r="B113" s="1854" t="s">
        <v>16</v>
      </c>
      <c r="C113" s="0" t="s">
        <v>2685</v>
      </c>
      <c r="D113" s="0" t="s">
        <v>2686</v>
      </c>
      <c r="E113" s="0" t="s">
        <v>2687</v>
      </c>
      <c r="F113" s="0" t="s">
        <v>2688</v>
      </c>
      <c r="G113" s="0" t="s">
        <v>2689</v>
      </c>
      <c r="H113" s="0" t="s">
        <v>22</v>
      </c>
      <c r="I113" s="0" t="s">
        <v>835</v>
      </c>
    </row>
    <row customHeight="1" ht="11.25">
      <c r="A114" s="1854" t="s">
        <v>2291</v>
      </c>
      <c r="B114" s="1854" t="s">
        <v>16</v>
      </c>
      <c r="C114" s="0" t="s">
        <v>2690</v>
      </c>
      <c r="D114" s="0" t="s">
        <v>2691</v>
      </c>
      <c r="E114" s="0" t="s">
        <v>2692</v>
      </c>
      <c r="F114" s="0" t="s">
        <v>2389</v>
      </c>
      <c r="G114" s="0" t="s">
        <v>22</v>
      </c>
      <c r="H114" s="0" t="s">
        <v>22</v>
      </c>
      <c r="I114" s="0" t="s">
        <v>835</v>
      </c>
    </row>
    <row customHeight="1" ht="11.25">
      <c r="A115" s="1854" t="s">
        <v>2291</v>
      </c>
      <c r="B115" s="1854" t="s">
        <v>16</v>
      </c>
      <c r="C115" s="0" t="s">
        <v>2693</v>
      </c>
      <c r="D115" s="0" t="s">
        <v>2694</v>
      </c>
      <c r="E115" s="0" t="s">
        <v>2695</v>
      </c>
      <c r="F115" s="0" t="s">
        <v>2696</v>
      </c>
      <c r="G115" s="0" t="s">
        <v>22</v>
      </c>
      <c r="H115" s="0" t="s">
        <v>22</v>
      </c>
      <c r="I115" s="0" t="s">
        <v>835</v>
      </c>
    </row>
    <row customHeight="1" ht="11.25">
      <c r="A116" s="1854" t="s">
        <v>2291</v>
      </c>
      <c r="B116" s="1854" t="s">
        <v>16</v>
      </c>
      <c r="C116" s="0" t="s">
        <v>2697</v>
      </c>
      <c r="D116" s="0" t="s">
        <v>2698</v>
      </c>
      <c r="E116" s="0" t="s">
        <v>2695</v>
      </c>
      <c r="F116" s="0" t="s">
        <v>2416</v>
      </c>
      <c r="G116" s="0" t="s">
        <v>2548</v>
      </c>
      <c r="H116" s="0" t="s">
        <v>22</v>
      </c>
      <c r="I116" s="0" t="s">
        <v>835</v>
      </c>
    </row>
    <row customHeight="1" ht="11.25">
      <c r="A117" s="1854" t="s">
        <v>2291</v>
      </c>
      <c r="B117" s="1854" t="s">
        <v>16</v>
      </c>
      <c r="C117" s="0" t="s">
        <v>2699</v>
      </c>
      <c r="D117" s="0" t="s">
        <v>2700</v>
      </c>
      <c r="E117" s="0" t="s">
        <v>2701</v>
      </c>
      <c r="F117" s="0" t="s">
        <v>2702</v>
      </c>
      <c r="G117" s="0" t="s">
        <v>22</v>
      </c>
      <c r="H117" s="0" t="s">
        <v>22</v>
      </c>
      <c r="I117" s="0" t="s">
        <v>835</v>
      </c>
    </row>
    <row customHeight="1" ht="11.25">
      <c r="A118" s="1854" t="s">
        <v>2291</v>
      </c>
      <c r="B118" s="1854" t="s">
        <v>16</v>
      </c>
      <c r="C118" s="0" t="s">
        <v>2703</v>
      </c>
      <c r="D118" s="0" t="s">
        <v>2704</v>
      </c>
      <c r="E118" s="0" t="s">
        <v>2705</v>
      </c>
      <c r="F118" s="0" t="s">
        <v>2351</v>
      </c>
      <c r="G118" s="0" t="s">
        <v>2706</v>
      </c>
      <c r="H118" s="0" t="s">
        <v>22</v>
      </c>
      <c r="I118" s="0" t="s">
        <v>835</v>
      </c>
    </row>
    <row customHeight="1" ht="11.25">
      <c r="A119" s="1854" t="s">
        <v>2291</v>
      </c>
      <c r="B119" s="1854" t="s">
        <v>16</v>
      </c>
      <c r="C119" s="0" t="s">
        <v>2707</v>
      </c>
      <c r="D119" s="0" t="s">
        <v>2708</v>
      </c>
      <c r="E119" s="0" t="s">
        <v>2709</v>
      </c>
      <c r="F119" s="0" t="s">
        <v>2359</v>
      </c>
      <c r="G119" s="0" t="s">
        <v>22</v>
      </c>
      <c r="H119" s="0" t="s">
        <v>22</v>
      </c>
      <c r="I119" s="0" t="s">
        <v>835</v>
      </c>
    </row>
    <row customHeight="1" ht="11.25">
      <c r="A120" s="1854" t="s">
        <v>2291</v>
      </c>
      <c r="B120" s="1854" t="s">
        <v>16</v>
      </c>
      <c r="C120" s="0" t="s">
        <v>2710</v>
      </c>
      <c r="D120" s="0" t="s">
        <v>2711</v>
      </c>
      <c r="E120" s="0" t="s">
        <v>2712</v>
      </c>
      <c r="F120" s="0" t="s">
        <v>2295</v>
      </c>
      <c r="G120" s="0" t="s">
        <v>22</v>
      </c>
      <c r="H120" s="0" t="s">
        <v>22</v>
      </c>
      <c r="I120" s="0" t="s">
        <v>835</v>
      </c>
    </row>
    <row customHeight="1" ht="11.25">
      <c r="A121" s="1854" t="s">
        <v>2291</v>
      </c>
      <c r="B121" s="1854" t="s">
        <v>16</v>
      </c>
      <c r="C121" s="0" t="s">
        <v>2713</v>
      </c>
      <c r="D121" s="0" t="s">
        <v>2714</v>
      </c>
      <c r="E121" s="0" t="s">
        <v>2715</v>
      </c>
      <c r="F121" s="0" t="s">
        <v>2716</v>
      </c>
      <c r="G121" s="0" t="s">
        <v>2717</v>
      </c>
      <c r="H121" s="0" t="s">
        <v>22</v>
      </c>
      <c r="I121" s="0" t="s">
        <v>835</v>
      </c>
    </row>
    <row customHeight="1" ht="11.25">
      <c r="A122" s="1854" t="s">
        <v>2291</v>
      </c>
      <c r="B122" s="1854" t="s">
        <v>16</v>
      </c>
      <c r="C122" s="0" t="s">
        <v>2718</v>
      </c>
      <c r="D122" s="0" t="s">
        <v>2719</v>
      </c>
      <c r="E122" s="0" t="s">
        <v>2720</v>
      </c>
      <c r="F122" s="0" t="s">
        <v>2327</v>
      </c>
      <c r="G122" s="0" t="s">
        <v>2721</v>
      </c>
      <c r="H122" s="0" t="s">
        <v>22</v>
      </c>
      <c r="I122" s="0" t="s">
        <v>835</v>
      </c>
    </row>
    <row customHeight="1" ht="11.25">
      <c r="A123" s="1854" t="s">
        <v>2291</v>
      </c>
      <c r="B123" s="1854" t="s">
        <v>16</v>
      </c>
      <c r="C123" s="0" t="s">
        <v>2722</v>
      </c>
      <c r="D123" s="0" t="s">
        <v>2723</v>
      </c>
      <c r="E123" s="0" t="s">
        <v>2724</v>
      </c>
      <c r="F123" s="0" t="s">
        <v>2322</v>
      </c>
      <c r="G123" s="0" t="s">
        <v>22</v>
      </c>
      <c r="H123" s="0" t="s">
        <v>22</v>
      </c>
      <c r="I123" s="0" t="s">
        <v>835</v>
      </c>
    </row>
    <row customHeight="1" ht="11.25">
      <c r="A124" s="1854" t="s">
        <v>2291</v>
      </c>
      <c r="B124" s="1854" t="s">
        <v>16</v>
      </c>
      <c r="C124" s="0" t="s">
        <v>2725</v>
      </c>
      <c r="D124" s="0" t="s">
        <v>2726</v>
      </c>
      <c r="E124" s="0" t="s">
        <v>2475</v>
      </c>
      <c r="F124" s="0" t="s">
        <v>2727</v>
      </c>
      <c r="G124" s="0" t="s">
        <v>22</v>
      </c>
      <c r="H124" s="0" t="s">
        <v>22</v>
      </c>
      <c r="I124" s="0" t="s">
        <v>835</v>
      </c>
    </row>
    <row customHeight="1" ht="11.25">
      <c r="A125" s="1854" t="s">
        <v>2291</v>
      </c>
      <c r="B125" s="1854" t="s">
        <v>16</v>
      </c>
      <c r="C125" s="0" t="s">
        <v>2728</v>
      </c>
      <c r="D125" s="0" t="s">
        <v>2729</v>
      </c>
      <c r="E125" s="0" t="s">
        <v>2730</v>
      </c>
      <c r="F125" s="0" t="s">
        <v>2351</v>
      </c>
      <c r="G125" s="0" t="s">
        <v>22</v>
      </c>
      <c r="H125" s="0" t="s">
        <v>22</v>
      </c>
      <c r="I125" s="0" t="s">
        <v>835</v>
      </c>
    </row>
    <row customHeight="1" ht="11.25">
      <c r="A126" s="1854" t="s">
        <v>2291</v>
      </c>
      <c r="B126" s="1854" t="s">
        <v>16</v>
      </c>
      <c r="C126" s="0" t="s">
        <v>2731</v>
      </c>
      <c r="D126" s="0" t="s">
        <v>2732</v>
      </c>
      <c r="E126" s="0" t="s">
        <v>2733</v>
      </c>
      <c r="F126" s="0" t="s">
        <v>2401</v>
      </c>
      <c r="G126" s="0" t="s">
        <v>22</v>
      </c>
      <c r="H126" s="0" t="s">
        <v>22</v>
      </c>
      <c r="I126" s="0" t="s">
        <v>835</v>
      </c>
    </row>
    <row customHeight="1" ht="11.25">
      <c r="A127" s="1854" t="s">
        <v>2291</v>
      </c>
      <c r="B127" s="1854" t="s">
        <v>16</v>
      </c>
      <c r="C127" s="0" t="s">
        <v>2734</v>
      </c>
      <c r="D127" s="0" t="s">
        <v>2735</v>
      </c>
      <c r="E127" s="0" t="s">
        <v>2736</v>
      </c>
      <c r="F127" s="0" t="s">
        <v>2640</v>
      </c>
      <c r="G127" s="0" t="s">
        <v>22</v>
      </c>
      <c r="H127" s="0" t="s">
        <v>22</v>
      </c>
      <c r="I127" s="0" t="s">
        <v>835</v>
      </c>
    </row>
    <row customHeight="1" ht="11.25">
      <c r="A128" s="1854" t="s">
        <v>2291</v>
      </c>
      <c r="B128" s="1854" t="s">
        <v>16</v>
      </c>
      <c r="C128" s="0" t="s">
        <v>2737</v>
      </c>
      <c r="D128" s="0" t="s">
        <v>2738</v>
      </c>
      <c r="E128" s="0" t="s">
        <v>2739</v>
      </c>
      <c r="F128" s="0" t="s">
        <v>2359</v>
      </c>
      <c r="G128" s="0" t="s">
        <v>22</v>
      </c>
      <c r="H128" s="0" t="s">
        <v>22</v>
      </c>
      <c r="I128" s="0" t="s">
        <v>835</v>
      </c>
    </row>
    <row customHeight="1" ht="11.25">
      <c r="A129" s="1854" t="s">
        <v>2291</v>
      </c>
      <c r="B129" s="1854" t="s">
        <v>16</v>
      </c>
      <c r="C129" s="0" t="s">
        <v>2740</v>
      </c>
      <c r="D129" s="0" t="s">
        <v>2741</v>
      </c>
      <c r="E129" s="0" t="s">
        <v>2742</v>
      </c>
      <c r="F129" s="0" t="s">
        <v>2743</v>
      </c>
      <c r="G129" s="0" t="s">
        <v>22</v>
      </c>
      <c r="H129" s="0" t="s">
        <v>22</v>
      </c>
      <c r="I129" s="0" t="s">
        <v>835</v>
      </c>
    </row>
    <row customHeight="1" ht="11.25">
      <c r="A130" s="1854" t="s">
        <v>2291</v>
      </c>
      <c r="B130" s="1854" t="s">
        <v>16</v>
      </c>
      <c r="C130" s="0" t="s">
        <v>2744</v>
      </c>
      <c r="D130" s="0" t="s">
        <v>2745</v>
      </c>
      <c r="E130" s="0" t="s">
        <v>2746</v>
      </c>
      <c r="F130" s="0" t="s">
        <v>2416</v>
      </c>
      <c r="G130" s="0" t="s">
        <v>22</v>
      </c>
      <c r="H130" s="0" t="s">
        <v>22</v>
      </c>
      <c r="I130" s="0" t="s">
        <v>835</v>
      </c>
    </row>
    <row customHeight="1" ht="11.25">
      <c r="A131" s="1854" t="s">
        <v>2291</v>
      </c>
      <c r="B131" s="1854" t="s">
        <v>16</v>
      </c>
      <c r="C131" s="0" t="s">
        <v>2747</v>
      </c>
      <c r="D131" s="0" t="s">
        <v>2748</v>
      </c>
      <c r="E131" s="0" t="s">
        <v>2749</v>
      </c>
      <c r="F131" s="0" t="s">
        <v>2750</v>
      </c>
      <c r="G131" s="0" t="s">
        <v>22</v>
      </c>
      <c r="H131" s="0" t="s">
        <v>22</v>
      </c>
      <c r="I131" s="0" t="s">
        <v>835</v>
      </c>
    </row>
    <row customHeight="1" ht="11.25">
      <c r="A132" s="1854" t="s">
        <v>2291</v>
      </c>
      <c r="B132" s="1854" t="s">
        <v>16</v>
      </c>
      <c r="C132" s="0" t="s">
        <v>2751</v>
      </c>
      <c r="D132" s="0" t="s">
        <v>2752</v>
      </c>
      <c r="E132" s="0" t="s">
        <v>2753</v>
      </c>
      <c r="F132" s="0" t="s">
        <v>2393</v>
      </c>
      <c r="G132" s="0" t="s">
        <v>22</v>
      </c>
      <c r="H132" s="0" t="s">
        <v>22</v>
      </c>
      <c r="I132" s="0" t="s">
        <v>835</v>
      </c>
    </row>
    <row customHeight="1" ht="11.25">
      <c r="A133" s="1854" t="s">
        <v>2291</v>
      </c>
      <c r="B133" s="1854" t="s">
        <v>16</v>
      </c>
      <c r="C133" s="0" t="s">
        <v>2754</v>
      </c>
      <c r="D133" s="0" t="s">
        <v>2755</v>
      </c>
      <c r="E133" s="0" t="s">
        <v>2756</v>
      </c>
      <c r="F133" s="0" t="s">
        <v>2750</v>
      </c>
      <c r="G133" s="0" t="s">
        <v>22</v>
      </c>
      <c r="H133" s="0" t="s">
        <v>22</v>
      </c>
      <c r="I133" s="0" t="s">
        <v>835</v>
      </c>
    </row>
    <row customHeight="1" ht="11.25">
      <c r="A134" s="1854" t="s">
        <v>2291</v>
      </c>
      <c r="B134" s="1854" t="s">
        <v>16</v>
      </c>
      <c r="C134" s="0" t="s">
        <v>2757</v>
      </c>
      <c r="D134" s="0" t="s">
        <v>2758</v>
      </c>
      <c r="E134" s="0" t="s">
        <v>2759</v>
      </c>
      <c r="F134" s="0" t="s">
        <v>2640</v>
      </c>
      <c r="G134" s="0" t="s">
        <v>22</v>
      </c>
      <c r="H134" s="0" t="s">
        <v>2760</v>
      </c>
      <c r="I134" s="0" t="s">
        <v>835</v>
      </c>
    </row>
    <row customHeight="1" ht="11.25">
      <c r="A135" s="1854" t="s">
        <v>2291</v>
      </c>
      <c r="B135" s="1854" t="s">
        <v>16</v>
      </c>
      <c r="C135" s="0" t="s">
        <v>2761</v>
      </c>
      <c r="D135" s="0" t="s">
        <v>2762</v>
      </c>
      <c r="E135" s="0" t="s">
        <v>2763</v>
      </c>
      <c r="F135" s="0" t="s">
        <v>2405</v>
      </c>
      <c r="G135" s="0" t="s">
        <v>22</v>
      </c>
      <c r="H135" s="0" t="s">
        <v>22</v>
      </c>
      <c r="I135" s="0" t="s">
        <v>835</v>
      </c>
    </row>
    <row customHeight="1" ht="11.25">
      <c r="A136" s="1854" t="s">
        <v>2291</v>
      </c>
      <c r="B136" s="1854" t="s">
        <v>16</v>
      </c>
      <c r="C136" s="0" t="s">
        <v>2764</v>
      </c>
      <c r="D136" s="0" t="s">
        <v>2765</v>
      </c>
      <c r="E136" s="0" t="s">
        <v>2766</v>
      </c>
      <c r="F136" s="0" t="s">
        <v>2295</v>
      </c>
      <c r="G136" s="0" t="s">
        <v>2767</v>
      </c>
      <c r="H136" s="0" t="s">
        <v>22</v>
      </c>
      <c r="I136" s="0" t="s">
        <v>835</v>
      </c>
    </row>
    <row customHeight="1" ht="11.25">
      <c r="A137" s="1854" t="s">
        <v>2291</v>
      </c>
      <c r="B137" s="1854" t="s">
        <v>16</v>
      </c>
      <c r="C137" s="0" t="s">
        <v>2768</v>
      </c>
      <c r="D137" s="0" t="s">
        <v>2769</v>
      </c>
      <c r="E137" s="0" t="s">
        <v>2770</v>
      </c>
      <c r="F137" s="0" t="s">
        <v>2322</v>
      </c>
      <c r="G137" s="0" t="s">
        <v>22</v>
      </c>
      <c r="H137" s="0" t="s">
        <v>22</v>
      </c>
      <c r="I137" s="0" t="s">
        <v>835</v>
      </c>
    </row>
    <row customHeight="1" ht="11.25">
      <c r="A138" s="1854" t="s">
        <v>2291</v>
      </c>
      <c r="B138" s="1854" t="s">
        <v>16</v>
      </c>
      <c r="C138" s="0" t="s">
        <v>2771</v>
      </c>
      <c r="D138" s="0" t="s">
        <v>2772</v>
      </c>
      <c r="E138" s="0" t="s">
        <v>2773</v>
      </c>
      <c r="F138" s="0" t="s">
        <v>2774</v>
      </c>
      <c r="G138" s="0" t="s">
        <v>22</v>
      </c>
      <c r="H138" s="0" t="s">
        <v>22</v>
      </c>
      <c r="I138" s="0" t="s">
        <v>835</v>
      </c>
    </row>
    <row customHeight="1" ht="11.25">
      <c r="A139" s="1854" t="s">
        <v>2291</v>
      </c>
      <c r="B139" s="1854" t="s">
        <v>16</v>
      </c>
      <c r="C139" s="0" t="s">
        <v>2775</v>
      </c>
      <c r="D139" s="0" t="s">
        <v>2776</v>
      </c>
      <c r="E139" s="0" t="s">
        <v>2777</v>
      </c>
      <c r="F139" s="0" t="s">
        <v>2322</v>
      </c>
      <c r="G139" s="0" t="s">
        <v>22</v>
      </c>
      <c r="H139" s="0" t="s">
        <v>22</v>
      </c>
      <c r="I139" s="0" t="s">
        <v>835</v>
      </c>
    </row>
    <row customHeight="1" ht="11.25">
      <c r="A140" s="1854" t="s">
        <v>2291</v>
      </c>
      <c r="B140" s="1854" t="s">
        <v>16</v>
      </c>
      <c r="C140" s="0" t="s">
        <v>2778</v>
      </c>
      <c r="D140" s="0" t="s">
        <v>2779</v>
      </c>
      <c r="E140" s="0" t="s">
        <v>2780</v>
      </c>
      <c r="F140" s="0" t="s">
        <v>2425</v>
      </c>
      <c r="G140" s="0" t="s">
        <v>22</v>
      </c>
      <c r="H140" s="0" t="s">
        <v>22</v>
      </c>
      <c r="I140" s="0" t="s">
        <v>835</v>
      </c>
    </row>
    <row customHeight="1" ht="11.25">
      <c r="A141" s="1854" t="s">
        <v>2291</v>
      </c>
      <c r="B141" s="1854" t="s">
        <v>16</v>
      </c>
      <c r="C141" s="0" t="s">
        <v>2781</v>
      </c>
      <c r="D141" s="0" t="s">
        <v>2782</v>
      </c>
      <c r="E141" s="0" t="s">
        <v>2783</v>
      </c>
      <c r="F141" s="0" t="s">
        <v>2784</v>
      </c>
      <c r="G141" s="0" t="s">
        <v>22</v>
      </c>
      <c r="H141" s="0" t="s">
        <v>22</v>
      </c>
      <c r="I141" s="0" t="s">
        <v>835</v>
      </c>
    </row>
    <row customHeight="1" ht="11.25">
      <c r="A142" s="1854" t="s">
        <v>2291</v>
      </c>
      <c r="B142" s="1854" t="s">
        <v>16</v>
      </c>
      <c r="C142" s="0" t="s">
        <v>2785</v>
      </c>
      <c r="D142" s="0" t="s">
        <v>2786</v>
      </c>
      <c r="E142" s="0" t="s">
        <v>2787</v>
      </c>
      <c r="F142" s="0" t="s">
        <v>2788</v>
      </c>
      <c r="G142" s="0" t="s">
        <v>22</v>
      </c>
      <c r="H142" s="0" t="s">
        <v>2789</v>
      </c>
      <c r="I142" s="0" t="s">
        <v>835</v>
      </c>
    </row>
    <row customHeight="1" ht="11.25">
      <c r="A143" s="1854" t="s">
        <v>2291</v>
      </c>
      <c r="B143" s="1854" t="s">
        <v>16</v>
      </c>
      <c r="C143" s="0" t="s">
        <v>2790</v>
      </c>
      <c r="D143" s="0" t="s">
        <v>2791</v>
      </c>
      <c r="E143" s="0" t="s">
        <v>2792</v>
      </c>
      <c r="F143" s="0" t="s">
        <v>2416</v>
      </c>
      <c r="G143" s="0" t="s">
        <v>22</v>
      </c>
      <c r="H143" s="0" t="s">
        <v>22</v>
      </c>
      <c r="I143" s="0" t="s">
        <v>835</v>
      </c>
    </row>
    <row customHeight="1" ht="11.25">
      <c r="A144" s="1854" t="s">
        <v>2291</v>
      </c>
      <c r="B144" s="1854" t="s">
        <v>16</v>
      </c>
      <c r="C144" s="0" t="s">
        <v>2793</v>
      </c>
      <c r="D144" s="0" t="s">
        <v>2794</v>
      </c>
      <c r="E144" s="0" t="s">
        <v>2795</v>
      </c>
      <c r="F144" s="0" t="s">
        <v>2796</v>
      </c>
      <c r="G144" s="0" t="s">
        <v>2797</v>
      </c>
      <c r="H144" s="0" t="s">
        <v>22</v>
      </c>
      <c r="I144" s="0" t="s">
        <v>835</v>
      </c>
    </row>
    <row customHeight="1" ht="11.25">
      <c r="A145" s="1854" t="s">
        <v>2291</v>
      </c>
      <c r="B145" s="1854" t="s">
        <v>16</v>
      </c>
      <c r="C145" s="0" t="s">
        <v>2798</v>
      </c>
      <c r="D145" s="0" t="s">
        <v>2799</v>
      </c>
      <c r="E145" s="0" t="s">
        <v>2800</v>
      </c>
      <c r="F145" s="0" t="s">
        <v>2359</v>
      </c>
      <c r="G145" s="0" t="s">
        <v>22</v>
      </c>
      <c r="H145" s="0" t="s">
        <v>22</v>
      </c>
      <c r="I145" s="0" t="s">
        <v>835</v>
      </c>
    </row>
    <row customHeight="1" ht="11.25">
      <c r="A146" s="1854" t="s">
        <v>2291</v>
      </c>
      <c r="B146" s="1854" t="s">
        <v>16</v>
      </c>
      <c r="C146" s="0" t="s">
        <v>2801</v>
      </c>
      <c r="D146" s="0" t="s">
        <v>2802</v>
      </c>
      <c r="E146" s="0" t="s">
        <v>2803</v>
      </c>
      <c r="F146" s="0" t="s">
        <v>2774</v>
      </c>
      <c r="G146" s="0" t="s">
        <v>22</v>
      </c>
      <c r="H146" s="0" t="s">
        <v>22</v>
      </c>
      <c r="I146" s="0" t="s">
        <v>835</v>
      </c>
    </row>
    <row customHeight="1" ht="11.25">
      <c r="A147" s="1854" t="s">
        <v>2291</v>
      </c>
      <c r="B147" s="1854" t="s">
        <v>16</v>
      </c>
      <c r="C147" s="0" t="s">
        <v>2804</v>
      </c>
      <c r="D147" s="0" t="s">
        <v>2805</v>
      </c>
      <c r="E147" s="0" t="s">
        <v>2806</v>
      </c>
      <c r="F147" s="0" t="s">
        <v>2393</v>
      </c>
      <c r="G147" s="0" t="s">
        <v>22</v>
      </c>
      <c r="H147" s="0" t="s">
        <v>22</v>
      </c>
      <c r="I147" s="0" t="s">
        <v>835</v>
      </c>
    </row>
    <row customHeight="1" ht="11.25">
      <c r="A148" s="1854" t="s">
        <v>2291</v>
      </c>
      <c r="B148" s="1854" t="s">
        <v>16</v>
      </c>
      <c r="C148" s="0" t="s">
        <v>2807</v>
      </c>
      <c r="D148" s="0" t="s">
        <v>2808</v>
      </c>
      <c r="E148" s="0" t="s">
        <v>2809</v>
      </c>
      <c r="F148" s="0" t="s">
        <v>2359</v>
      </c>
      <c r="G148" s="0" t="s">
        <v>22</v>
      </c>
      <c r="H148" s="0" t="s">
        <v>22</v>
      </c>
      <c r="I148" s="0" t="s">
        <v>835</v>
      </c>
    </row>
    <row customHeight="1" ht="11.25">
      <c r="A149" s="1854" t="s">
        <v>2291</v>
      </c>
      <c r="B149" s="1854" t="s">
        <v>16</v>
      </c>
      <c r="C149" s="0" t="s">
        <v>2810</v>
      </c>
      <c r="D149" s="0" t="s">
        <v>2811</v>
      </c>
      <c r="E149" s="0" t="s">
        <v>2812</v>
      </c>
      <c r="F149" s="0" t="s">
        <v>2389</v>
      </c>
      <c r="G149" s="0" t="s">
        <v>2813</v>
      </c>
      <c r="H149" s="0" t="s">
        <v>22</v>
      </c>
      <c r="I149" s="0" t="s">
        <v>835</v>
      </c>
    </row>
    <row customHeight="1" ht="11.25">
      <c r="A150" s="1854" t="s">
        <v>2291</v>
      </c>
      <c r="B150" s="1854" t="s">
        <v>16</v>
      </c>
      <c r="C150" s="0" t="s">
        <v>2814</v>
      </c>
      <c r="D150" s="0" t="s">
        <v>2815</v>
      </c>
      <c r="E150" s="0" t="s">
        <v>2816</v>
      </c>
      <c r="F150" s="0" t="s">
        <v>2817</v>
      </c>
      <c r="G150" s="0" t="s">
        <v>2818</v>
      </c>
      <c r="H150" s="0" t="s">
        <v>22</v>
      </c>
      <c r="I150" s="0" t="s">
        <v>835</v>
      </c>
    </row>
    <row customHeight="1" ht="11.25">
      <c r="A151" s="1854" t="s">
        <v>2291</v>
      </c>
      <c r="B151" s="1854" t="s">
        <v>16</v>
      </c>
      <c r="C151" s="0" t="s">
        <v>2819</v>
      </c>
      <c r="D151" s="0" t="s">
        <v>2820</v>
      </c>
      <c r="E151" s="0" t="s">
        <v>2821</v>
      </c>
      <c r="F151" s="0" t="s">
        <v>2822</v>
      </c>
      <c r="G151" s="0" t="s">
        <v>22</v>
      </c>
      <c r="H151" s="0" t="s">
        <v>22</v>
      </c>
      <c r="I151" s="0" t="s">
        <v>835</v>
      </c>
    </row>
    <row customHeight="1" ht="11.25">
      <c r="A152" s="1854" t="s">
        <v>2291</v>
      </c>
      <c r="B152" s="1854" t="s">
        <v>16</v>
      </c>
      <c r="C152" s="0" t="s">
        <v>2823</v>
      </c>
      <c r="D152" s="0" t="s">
        <v>2824</v>
      </c>
      <c r="E152" s="0" t="s">
        <v>2825</v>
      </c>
      <c r="F152" s="0" t="s">
        <v>2359</v>
      </c>
      <c r="G152" s="0" t="s">
        <v>2826</v>
      </c>
      <c r="H152" s="0" t="s">
        <v>22</v>
      </c>
      <c r="I152" s="0" t="s">
        <v>835</v>
      </c>
    </row>
    <row customHeight="1" ht="11.25">
      <c r="A153" s="1854" t="s">
        <v>2291</v>
      </c>
      <c r="B153" s="1854" t="s">
        <v>16</v>
      </c>
      <c r="C153" s="0" t="s">
        <v>2827</v>
      </c>
      <c r="D153" s="0" t="s">
        <v>2828</v>
      </c>
      <c r="E153" s="0" t="s">
        <v>2829</v>
      </c>
      <c r="F153" s="0" t="s">
        <v>2830</v>
      </c>
      <c r="G153" s="0" t="s">
        <v>22</v>
      </c>
      <c r="H153" s="0" t="s">
        <v>2831</v>
      </c>
      <c r="I153" s="0" t="s">
        <v>835</v>
      </c>
    </row>
    <row customHeight="1" ht="11.25">
      <c r="A154" s="1854" t="s">
        <v>2291</v>
      </c>
      <c r="B154" s="1854" t="s">
        <v>16</v>
      </c>
      <c r="C154" s="0" t="s">
        <v>2832</v>
      </c>
      <c r="D154" s="0" t="s">
        <v>2833</v>
      </c>
      <c r="E154" s="0" t="s">
        <v>2834</v>
      </c>
      <c r="F154" s="0" t="s">
        <v>2401</v>
      </c>
      <c r="G154" s="0" t="s">
        <v>22</v>
      </c>
      <c r="H154" s="0" t="s">
        <v>22</v>
      </c>
      <c r="I154" s="0" t="s">
        <v>835</v>
      </c>
    </row>
    <row customHeight="1" ht="11.25">
      <c r="A155" s="1854" t="s">
        <v>2291</v>
      </c>
      <c r="B155" s="1854" t="s">
        <v>16</v>
      </c>
      <c r="C155" s="0" t="s">
        <v>2835</v>
      </c>
      <c r="D155" s="0" t="s">
        <v>2836</v>
      </c>
      <c r="E155" s="0" t="s">
        <v>2837</v>
      </c>
      <c r="F155" s="0" t="s">
        <v>572</v>
      </c>
      <c r="G155" s="0" t="s">
        <v>22</v>
      </c>
      <c r="H155" s="0" t="s">
        <v>22</v>
      </c>
      <c r="I155" s="0" t="s">
        <v>835</v>
      </c>
    </row>
    <row customHeight="1" ht="11.25">
      <c r="A156" s="1854" t="s">
        <v>2291</v>
      </c>
      <c r="B156" s="1854" t="s">
        <v>16</v>
      </c>
      <c r="C156" s="0" t="s">
        <v>2838</v>
      </c>
      <c r="D156" s="0" t="s">
        <v>2839</v>
      </c>
      <c r="E156" s="0" t="s">
        <v>2840</v>
      </c>
      <c r="F156" s="0" t="s">
        <v>572</v>
      </c>
      <c r="G156" s="0" t="s">
        <v>22</v>
      </c>
      <c r="H156" s="0" t="s">
        <v>22</v>
      </c>
      <c r="I156" s="0" t="s">
        <v>835</v>
      </c>
    </row>
    <row customHeight="1" ht="11.25">
      <c r="A157" s="1854" t="s">
        <v>2291</v>
      </c>
      <c r="B157" s="1854" t="s">
        <v>16</v>
      </c>
      <c r="C157" s="0" t="s">
        <v>2841</v>
      </c>
      <c r="D157" s="0" t="s">
        <v>2842</v>
      </c>
      <c r="E157" s="0" t="s">
        <v>2843</v>
      </c>
      <c r="F157" s="0" t="s">
        <v>572</v>
      </c>
      <c r="G157" s="0" t="s">
        <v>22</v>
      </c>
      <c r="H157" s="0" t="s">
        <v>22</v>
      </c>
      <c r="I157" s="0" t="s">
        <v>835</v>
      </c>
    </row>
    <row customHeight="1" ht="11.25">
      <c r="A158" s="1854" t="s">
        <v>2291</v>
      </c>
      <c r="B158" s="1854" t="s">
        <v>16</v>
      </c>
      <c r="C158" s="0" t="s">
        <v>2844</v>
      </c>
      <c r="D158" s="0" t="s">
        <v>2845</v>
      </c>
      <c r="E158" s="0" t="s">
        <v>2846</v>
      </c>
      <c r="F158" s="0" t="s">
        <v>572</v>
      </c>
      <c r="G158" s="0" t="s">
        <v>22</v>
      </c>
      <c r="H158" s="0" t="s">
        <v>22</v>
      </c>
      <c r="I158" s="0" t="s">
        <v>835</v>
      </c>
    </row>
    <row customHeight="1" ht="11.25">
      <c r="A159" s="1854" t="s">
        <v>2291</v>
      </c>
      <c r="B159" s="1854" t="s">
        <v>16</v>
      </c>
      <c r="C159" s="0" t="s">
        <v>2847</v>
      </c>
      <c r="D159" s="0" t="s">
        <v>2848</v>
      </c>
      <c r="E159" s="0" t="s">
        <v>2849</v>
      </c>
      <c r="F159" s="0" t="s">
        <v>572</v>
      </c>
      <c r="G159" s="0" t="s">
        <v>22</v>
      </c>
      <c r="H159" s="0" t="s">
        <v>22</v>
      </c>
      <c r="I159" s="0" t="s">
        <v>835</v>
      </c>
    </row>
    <row customHeight="1" ht="11.25">
      <c r="A160" s="1854" t="s">
        <v>2291</v>
      </c>
      <c r="B160" s="1854" t="s">
        <v>16</v>
      </c>
      <c r="C160" s="0" t="s">
        <v>2850</v>
      </c>
      <c r="D160" s="0" t="s">
        <v>2851</v>
      </c>
      <c r="E160" s="0" t="s">
        <v>2852</v>
      </c>
      <c r="F160" s="0" t="s">
        <v>572</v>
      </c>
      <c r="G160" s="0" t="s">
        <v>22</v>
      </c>
      <c r="H160" s="0" t="s">
        <v>22</v>
      </c>
      <c r="I160" s="0" t="s">
        <v>835</v>
      </c>
    </row>
    <row customHeight="1" ht="11.25">
      <c r="A161" s="1854" t="s">
        <v>2291</v>
      </c>
      <c r="B161" s="1854" t="s">
        <v>16</v>
      </c>
      <c r="C161" s="0" t="s">
        <v>2853</v>
      </c>
      <c r="D161" s="0" t="s">
        <v>2854</v>
      </c>
      <c r="E161" s="0" t="s">
        <v>2855</v>
      </c>
      <c r="F161" s="0" t="s">
        <v>572</v>
      </c>
      <c r="G161" s="0" t="s">
        <v>22</v>
      </c>
      <c r="H161" s="0" t="s">
        <v>22</v>
      </c>
      <c r="I161" s="0" t="s">
        <v>835</v>
      </c>
    </row>
    <row customHeight="1" ht="11.25">
      <c r="A162" s="1854" t="s">
        <v>2291</v>
      </c>
      <c r="B162" s="1854" t="s">
        <v>16</v>
      </c>
      <c r="C162" s="0" t="s">
        <v>2856</v>
      </c>
      <c r="D162" s="0" t="s">
        <v>2857</v>
      </c>
      <c r="E162" s="0" t="s">
        <v>2858</v>
      </c>
      <c r="F162" s="0" t="s">
        <v>572</v>
      </c>
      <c r="G162" s="0" t="s">
        <v>22</v>
      </c>
      <c r="H162" s="0" t="s">
        <v>22</v>
      </c>
      <c r="I162" s="0" t="s">
        <v>835</v>
      </c>
    </row>
    <row customHeight="1" ht="11.25">
      <c r="A163" s="1854" t="s">
        <v>2291</v>
      </c>
      <c r="B163" s="1854" t="s">
        <v>16</v>
      </c>
      <c r="C163" s="0" t="s">
        <v>2859</v>
      </c>
      <c r="D163" s="0" t="s">
        <v>2860</v>
      </c>
      <c r="E163" s="0" t="s">
        <v>2861</v>
      </c>
      <c r="F163" s="0" t="s">
        <v>572</v>
      </c>
      <c r="G163" s="0" t="s">
        <v>22</v>
      </c>
      <c r="H163" s="0" t="s">
        <v>22</v>
      </c>
      <c r="I163" s="0" t="s">
        <v>835</v>
      </c>
    </row>
    <row customHeight="1" ht="11.25">
      <c r="A164" s="1854" t="s">
        <v>2291</v>
      </c>
      <c r="B164" s="1854" t="s">
        <v>16</v>
      </c>
      <c r="C164" s="0" t="s">
        <v>2862</v>
      </c>
      <c r="D164" s="0" t="s">
        <v>2863</v>
      </c>
      <c r="E164" s="0" t="s">
        <v>2864</v>
      </c>
      <c r="F164" s="0" t="s">
        <v>572</v>
      </c>
      <c r="G164" s="0" t="s">
        <v>22</v>
      </c>
      <c r="H164" s="0" t="s">
        <v>22</v>
      </c>
      <c r="I164" s="0" t="s">
        <v>835</v>
      </c>
    </row>
    <row customHeight="1" ht="11.25">
      <c r="A165" s="1854" t="s">
        <v>2291</v>
      </c>
      <c r="B165" s="1854" t="s">
        <v>16</v>
      </c>
      <c r="C165" s="0" t="s">
        <v>2865</v>
      </c>
      <c r="D165" s="0" t="s">
        <v>2866</v>
      </c>
      <c r="E165" s="0" t="s">
        <v>2867</v>
      </c>
      <c r="F165" s="0" t="s">
        <v>572</v>
      </c>
      <c r="G165" s="0" t="s">
        <v>2868</v>
      </c>
      <c r="H165" s="0" t="s">
        <v>22</v>
      </c>
      <c r="I165" s="0" t="s">
        <v>835</v>
      </c>
    </row>
    <row customHeight="1" ht="11.25">
      <c r="A166" s="1854" t="s">
        <v>2291</v>
      </c>
      <c r="B166" s="1854" t="s">
        <v>16</v>
      </c>
      <c r="C166" s="0" t="s">
        <v>2869</v>
      </c>
      <c r="D166" s="0" t="s">
        <v>2870</v>
      </c>
      <c r="E166" s="0" t="s">
        <v>2871</v>
      </c>
      <c r="F166" s="0" t="s">
        <v>572</v>
      </c>
      <c r="G166" s="0" t="s">
        <v>2872</v>
      </c>
      <c r="H166" s="0" t="s">
        <v>22</v>
      </c>
      <c r="I166" s="0" t="s">
        <v>835</v>
      </c>
    </row>
    <row customHeight="1" ht="11.25">
      <c r="A167" s="1854" t="s">
        <v>2291</v>
      </c>
      <c r="B167" s="1854" t="s">
        <v>16</v>
      </c>
      <c r="C167" s="0" t="s">
        <v>2873</v>
      </c>
      <c r="D167" s="0" t="s">
        <v>2874</v>
      </c>
      <c r="E167" s="0" t="s">
        <v>2875</v>
      </c>
      <c r="F167" s="0" t="s">
        <v>572</v>
      </c>
      <c r="G167" s="0" t="s">
        <v>22</v>
      </c>
      <c r="H167" s="0" t="s">
        <v>2876</v>
      </c>
      <c r="I167" s="0" t="s">
        <v>835</v>
      </c>
    </row>
    <row customHeight="1" ht="11.25">
      <c r="A168" s="1854" t="s">
        <v>2291</v>
      </c>
      <c r="B168" s="1854" t="s">
        <v>16</v>
      </c>
      <c r="C168" s="0" t="s">
        <v>2877</v>
      </c>
      <c r="D168" s="0" t="s">
        <v>2878</v>
      </c>
      <c r="E168" s="0" t="s">
        <v>2879</v>
      </c>
      <c r="F168" s="0" t="s">
        <v>572</v>
      </c>
      <c r="G168" s="0" t="s">
        <v>22</v>
      </c>
      <c r="H168" s="0" t="s">
        <v>22</v>
      </c>
      <c r="I168" s="0" t="s">
        <v>835</v>
      </c>
    </row>
    <row customHeight="1" ht="11.25">
      <c r="A169" s="1854" t="s">
        <v>2291</v>
      </c>
      <c r="B169" s="1854" t="s">
        <v>16</v>
      </c>
      <c r="C169" s="0" t="s">
        <v>2880</v>
      </c>
      <c r="D169" s="0" t="s">
        <v>2881</v>
      </c>
      <c r="E169" s="0" t="s">
        <v>2882</v>
      </c>
      <c r="F169" s="0" t="s">
        <v>572</v>
      </c>
      <c r="G169" s="0" t="s">
        <v>22</v>
      </c>
      <c r="H169" s="0" t="s">
        <v>22</v>
      </c>
      <c r="I169" s="0" t="s">
        <v>835</v>
      </c>
    </row>
    <row customHeight="1" ht="11.25">
      <c r="A170" s="1854" t="s">
        <v>2291</v>
      </c>
      <c r="B170" s="1854" t="s">
        <v>16</v>
      </c>
      <c r="C170" s="0" t="s">
        <v>2883</v>
      </c>
      <c r="D170" s="0" t="s">
        <v>2884</v>
      </c>
      <c r="E170" s="0" t="s">
        <v>2885</v>
      </c>
      <c r="F170" s="0" t="s">
        <v>572</v>
      </c>
      <c r="G170" s="0" t="s">
        <v>22</v>
      </c>
      <c r="H170" s="0" t="s">
        <v>22</v>
      </c>
      <c r="I170" s="0" t="s">
        <v>835</v>
      </c>
    </row>
    <row customHeight="1" ht="11.25">
      <c r="A171" s="1854" t="s">
        <v>2291</v>
      </c>
      <c r="B171" s="1854" t="s">
        <v>16</v>
      </c>
      <c r="C171" s="0" t="s">
        <v>2886</v>
      </c>
      <c r="D171" s="0" t="s">
        <v>2887</v>
      </c>
      <c r="E171" s="0" t="s">
        <v>2888</v>
      </c>
      <c r="F171" s="0" t="s">
        <v>2889</v>
      </c>
      <c r="G171" s="0" t="s">
        <v>22</v>
      </c>
      <c r="H171" s="0" t="s">
        <v>22</v>
      </c>
      <c r="I171" s="0" t="s">
        <v>835</v>
      </c>
    </row>
    <row customHeight="1" ht="11.25">
      <c r="A172" s="1854" t="s">
        <v>2291</v>
      </c>
      <c r="B172" s="1854" t="s">
        <v>16</v>
      </c>
      <c r="C172" s="0" t="s">
        <v>2890</v>
      </c>
      <c r="D172" s="0" t="s">
        <v>2891</v>
      </c>
      <c r="E172" s="0" t="s">
        <v>2892</v>
      </c>
      <c r="F172" s="0" t="s">
        <v>2467</v>
      </c>
      <c r="G172" s="0" t="s">
        <v>22</v>
      </c>
      <c r="H172" s="0" t="s">
        <v>22</v>
      </c>
      <c r="I172" s="0" t="s">
        <v>835</v>
      </c>
    </row>
    <row customHeight="1" ht="11.25">
      <c r="A173" s="1854" t="s">
        <v>2291</v>
      </c>
      <c r="B173" s="1854" t="s">
        <v>16</v>
      </c>
      <c r="C173" s="0" t="s">
        <v>2893</v>
      </c>
      <c r="D173" s="0" t="s">
        <v>2894</v>
      </c>
      <c r="E173" s="0" t="s">
        <v>2895</v>
      </c>
      <c r="F173" s="0" t="s">
        <v>2322</v>
      </c>
      <c r="G173" s="0" t="s">
        <v>22</v>
      </c>
      <c r="H173" s="0" t="s">
        <v>22</v>
      </c>
      <c r="I173" s="0" t="s">
        <v>835</v>
      </c>
    </row>
    <row customHeight="1" ht="11.25">
      <c r="A174" s="1854" t="s">
        <v>2291</v>
      </c>
      <c r="B174" s="1854" t="s">
        <v>16</v>
      </c>
      <c r="C174" s="0" t="s">
        <v>2896</v>
      </c>
      <c r="D174" s="0" t="s">
        <v>2897</v>
      </c>
      <c r="E174" s="0" t="s">
        <v>2898</v>
      </c>
      <c r="F174" s="0" t="s">
        <v>2750</v>
      </c>
      <c r="G174" s="0" t="s">
        <v>22</v>
      </c>
      <c r="H174" s="0" t="s">
        <v>22</v>
      </c>
      <c r="I174" s="0" t="s">
        <v>835</v>
      </c>
    </row>
    <row customHeight="1" ht="11.25">
      <c r="A175" s="1854" t="s">
        <v>2291</v>
      </c>
      <c r="B175" s="1854" t="s">
        <v>16</v>
      </c>
      <c r="C175" s="0" t="s">
        <v>2899</v>
      </c>
      <c r="D175" s="0" t="s">
        <v>2900</v>
      </c>
      <c r="E175" s="0" t="s">
        <v>2901</v>
      </c>
      <c r="F175" s="0" t="s">
        <v>2640</v>
      </c>
      <c r="G175" s="0" t="s">
        <v>22</v>
      </c>
      <c r="H175" s="0" t="s">
        <v>22</v>
      </c>
      <c r="I175" s="0" t="s">
        <v>835</v>
      </c>
    </row>
    <row customHeight="1" ht="11.25">
      <c r="A176" s="1854" t="s">
        <v>2291</v>
      </c>
      <c r="B176" s="1854" t="s">
        <v>16</v>
      </c>
      <c r="C176" s="0" t="s">
        <v>2902</v>
      </c>
      <c r="D176" s="0" t="s">
        <v>2903</v>
      </c>
      <c r="E176" s="0" t="s">
        <v>2904</v>
      </c>
      <c r="F176" s="0" t="s">
        <v>2420</v>
      </c>
      <c r="G176" s="0" t="s">
        <v>2905</v>
      </c>
      <c r="H176" s="0" t="s">
        <v>22</v>
      </c>
      <c r="I176" s="0" t="s">
        <v>835</v>
      </c>
    </row>
    <row customHeight="1" ht="11.25">
      <c r="A177" s="1854" t="s">
        <v>2291</v>
      </c>
      <c r="B177" s="1854" t="s">
        <v>16</v>
      </c>
      <c r="C177" s="0" t="s">
        <v>2906</v>
      </c>
      <c r="D177" s="0" t="s">
        <v>2907</v>
      </c>
      <c r="E177" s="0" t="s">
        <v>2908</v>
      </c>
      <c r="F177" s="0" t="s">
        <v>2313</v>
      </c>
      <c r="G177" s="0" t="s">
        <v>22</v>
      </c>
      <c r="H177" s="0" t="s">
        <v>2909</v>
      </c>
      <c r="I177" s="0" t="s">
        <v>835</v>
      </c>
    </row>
    <row customHeight="1" ht="11.25">
      <c r="A178" s="1854" t="s">
        <v>2291</v>
      </c>
      <c r="B178" s="1854" t="s">
        <v>16</v>
      </c>
      <c r="C178" s="0" t="s">
        <v>2910</v>
      </c>
      <c r="D178" s="0" t="s">
        <v>2911</v>
      </c>
      <c r="E178" s="0" t="s">
        <v>2912</v>
      </c>
      <c r="F178" s="0" t="s">
        <v>2313</v>
      </c>
      <c r="G178" s="0" t="s">
        <v>22</v>
      </c>
      <c r="H178" s="0" t="s">
        <v>22</v>
      </c>
      <c r="I178" s="0" t="s">
        <v>835</v>
      </c>
    </row>
    <row customHeight="1" ht="11.25">
      <c r="A179" s="1854" t="s">
        <v>2291</v>
      </c>
      <c r="B179" s="1854" t="s">
        <v>16</v>
      </c>
      <c r="C179" s="0" t="s">
        <v>2913</v>
      </c>
      <c r="D179" s="0" t="s">
        <v>2914</v>
      </c>
      <c r="E179" s="0" t="s">
        <v>2915</v>
      </c>
      <c r="F179" s="0" t="s">
        <v>2420</v>
      </c>
      <c r="G179" s="0" t="s">
        <v>22</v>
      </c>
      <c r="H179" s="0" t="s">
        <v>22</v>
      </c>
      <c r="I179" s="0" t="s">
        <v>835</v>
      </c>
    </row>
    <row customHeight="1" ht="11.25">
      <c r="A180" s="1854" t="s">
        <v>2291</v>
      </c>
      <c r="B180" s="1854" t="s">
        <v>16</v>
      </c>
      <c r="C180" s="0" t="s">
        <v>2916</v>
      </c>
      <c r="D180" s="0" t="s">
        <v>2917</v>
      </c>
      <c r="E180" s="0" t="s">
        <v>2918</v>
      </c>
      <c r="F180" s="0" t="s">
        <v>2295</v>
      </c>
      <c r="G180" s="0" t="s">
        <v>22</v>
      </c>
      <c r="H180" s="0" t="s">
        <v>22</v>
      </c>
      <c r="I180" s="0" t="s">
        <v>835</v>
      </c>
    </row>
    <row customHeight="1" ht="11.25">
      <c r="A181" s="1854" t="s">
        <v>2291</v>
      </c>
      <c r="B181" s="1854" t="s">
        <v>16</v>
      </c>
      <c r="C181" s="0" t="s">
        <v>2919</v>
      </c>
      <c r="D181" s="0" t="s">
        <v>2920</v>
      </c>
      <c r="E181" s="0" t="s">
        <v>2921</v>
      </c>
      <c r="F181" s="0" t="s">
        <v>2351</v>
      </c>
      <c r="G181" s="0" t="s">
        <v>22</v>
      </c>
      <c r="H181" s="0" t="s">
        <v>22</v>
      </c>
      <c r="I181" s="0" t="s">
        <v>835</v>
      </c>
    </row>
    <row customHeight="1" ht="11.25">
      <c r="A182" s="1854" t="s">
        <v>2291</v>
      </c>
      <c r="B182" s="1854" t="s">
        <v>16</v>
      </c>
      <c r="C182" s="0" t="s">
        <v>2922</v>
      </c>
      <c r="D182" s="0" t="s">
        <v>2923</v>
      </c>
      <c r="E182" s="0" t="s">
        <v>2924</v>
      </c>
      <c r="F182" s="0" t="s">
        <v>2313</v>
      </c>
      <c r="G182" s="0" t="s">
        <v>22</v>
      </c>
      <c r="H182" s="0" t="s">
        <v>22</v>
      </c>
      <c r="I182" s="0" t="s">
        <v>835</v>
      </c>
    </row>
    <row customHeight="1" ht="11.25">
      <c r="A183" s="1854" t="s">
        <v>2291</v>
      </c>
      <c r="B183" s="1854" t="s">
        <v>16</v>
      </c>
      <c r="C183" s="0" t="s">
        <v>2925</v>
      </c>
      <c r="D183" s="0" t="s">
        <v>2926</v>
      </c>
      <c r="E183" s="0" t="s">
        <v>2927</v>
      </c>
      <c r="F183" s="0" t="s">
        <v>2640</v>
      </c>
      <c r="G183" s="0" t="s">
        <v>22</v>
      </c>
      <c r="H183" s="0" t="s">
        <v>22</v>
      </c>
      <c r="I183" s="0" t="s">
        <v>835</v>
      </c>
    </row>
    <row customHeight="1" ht="11.25">
      <c r="A184" s="1854" t="s">
        <v>2291</v>
      </c>
      <c r="B184" s="1854" t="s">
        <v>16</v>
      </c>
      <c r="C184" s="0" t="s">
        <v>2928</v>
      </c>
      <c r="D184" s="0" t="s">
        <v>2929</v>
      </c>
      <c r="E184" s="0" t="s">
        <v>2930</v>
      </c>
      <c r="F184" s="0" t="s">
        <v>2377</v>
      </c>
      <c r="G184" s="0" t="s">
        <v>22</v>
      </c>
      <c r="H184" s="0" t="s">
        <v>22</v>
      </c>
      <c r="I184" s="0" t="s">
        <v>835</v>
      </c>
    </row>
    <row customHeight="1" ht="11.25">
      <c r="A185" s="1854" t="s">
        <v>2291</v>
      </c>
      <c r="B185" s="1854" t="s">
        <v>16</v>
      </c>
      <c r="C185" s="0" t="s">
        <v>2931</v>
      </c>
      <c r="D185" s="0" t="s">
        <v>2932</v>
      </c>
      <c r="E185" s="0" t="s">
        <v>2933</v>
      </c>
      <c r="F185" s="0" t="s">
        <v>2750</v>
      </c>
      <c r="G185" s="0" t="s">
        <v>22</v>
      </c>
      <c r="H185" s="0" t="s">
        <v>22</v>
      </c>
      <c r="I185" s="0" t="s">
        <v>835</v>
      </c>
    </row>
    <row customHeight="1" ht="11.25">
      <c r="A186" s="1854" t="s">
        <v>2291</v>
      </c>
      <c r="B186" s="1854" t="s">
        <v>16</v>
      </c>
      <c r="C186" s="0" t="s">
        <v>2934</v>
      </c>
      <c r="D186" s="0" t="s">
        <v>2935</v>
      </c>
      <c r="E186" s="0" t="s">
        <v>2936</v>
      </c>
      <c r="F186" s="0" t="s">
        <v>2750</v>
      </c>
      <c r="G186" s="0" t="s">
        <v>22</v>
      </c>
      <c r="H186" s="0" t="s">
        <v>22</v>
      </c>
      <c r="I186" s="0" t="s">
        <v>835</v>
      </c>
    </row>
    <row customHeight="1" ht="11.25">
      <c r="A187" s="1854" t="s">
        <v>2291</v>
      </c>
      <c r="B187" s="1854" t="s">
        <v>16</v>
      </c>
      <c r="C187" s="0" t="s">
        <v>2937</v>
      </c>
      <c r="D187" s="0" t="s">
        <v>2938</v>
      </c>
      <c r="E187" s="0" t="s">
        <v>2939</v>
      </c>
      <c r="F187" s="0" t="s">
        <v>2750</v>
      </c>
      <c r="G187" s="0" t="s">
        <v>22</v>
      </c>
      <c r="H187" s="0" t="s">
        <v>22</v>
      </c>
      <c r="I187" s="0" t="s">
        <v>835</v>
      </c>
    </row>
    <row customHeight="1" ht="11.25">
      <c r="A188" s="1854" t="s">
        <v>2291</v>
      </c>
      <c r="B188" s="1854" t="s">
        <v>16</v>
      </c>
      <c r="C188" s="0" t="s">
        <v>2940</v>
      </c>
      <c r="D188" s="0" t="s">
        <v>2941</v>
      </c>
      <c r="E188" s="0" t="s">
        <v>2942</v>
      </c>
      <c r="F188" s="0" t="s">
        <v>2640</v>
      </c>
      <c r="G188" s="0" t="s">
        <v>22</v>
      </c>
      <c r="H188" s="0" t="s">
        <v>22</v>
      </c>
      <c r="I188" s="0" t="s">
        <v>835</v>
      </c>
    </row>
    <row customHeight="1" ht="11.25">
      <c r="A189" s="1854" t="s">
        <v>2291</v>
      </c>
      <c r="B189" s="1854" t="s">
        <v>16</v>
      </c>
      <c r="C189" s="0" t="s">
        <v>2943</v>
      </c>
      <c r="D189" s="0" t="s">
        <v>2944</v>
      </c>
      <c r="E189" s="0" t="s">
        <v>2945</v>
      </c>
      <c r="F189" s="0" t="s">
        <v>2351</v>
      </c>
      <c r="G189" s="0" t="s">
        <v>22</v>
      </c>
      <c r="H189" s="0" t="s">
        <v>22</v>
      </c>
      <c r="I189" s="0" t="s">
        <v>835</v>
      </c>
    </row>
    <row customHeight="1" ht="11.25">
      <c r="A190" s="1854" t="s">
        <v>2291</v>
      </c>
      <c r="B190" s="1854" t="s">
        <v>16</v>
      </c>
      <c r="C190" s="0" t="s">
        <v>2946</v>
      </c>
      <c r="D190" s="0" t="s">
        <v>2947</v>
      </c>
      <c r="E190" s="0" t="s">
        <v>2948</v>
      </c>
      <c r="F190" s="0" t="s">
        <v>2351</v>
      </c>
      <c r="G190" s="0" t="s">
        <v>22</v>
      </c>
      <c r="H190" s="0" t="s">
        <v>22</v>
      </c>
      <c r="I190" s="0" t="s">
        <v>835</v>
      </c>
    </row>
    <row customHeight="1" ht="11.25">
      <c r="A191" s="1854" t="s">
        <v>2291</v>
      </c>
      <c r="B191" s="1854" t="s">
        <v>16</v>
      </c>
      <c r="C191" s="0" t="s">
        <v>2949</v>
      </c>
      <c r="D191" s="0" t="s">
        <v>2950</v>
      </c>
      <c r="E191" s="0" t="s">
        <v>2951</v>
      </c>
      <c r="F191" s="0" t="s">
        <v>2640</v>
      </c>
      <c r="G191" s="0" t="s">
        <v>22</v>
      </c>
      <c r="H191" s="0" t="s">
        <v>22</v>
      </c>
      <c r="I191" s="0" t="s">
        <v>835</v>
      </c>
    </row>
    <row customHeight="1" ht="11.25">
      <c r="A192" s="1854" t="s">
        <v>2291</v>
      </c>
      <c r="B192" s="1854" t="s">
        <v>16</v>
      </c>
      <c r="C192" s="0" t="s">
        <v>2952</v>
      </c>
      <c r="D192" s="0" t="s">
        <v>2953</v>
      </c>
      <c r="E192" s="0" t="s">
        <v>2954</v>
      </c>
      <c r="F192" s="0" t="s">
        <v>2309</v>
      </c>
      <c r="G192" s="0" t="s">
        <v>22</v>
      </c>
      <c r="H192" s="0" t="s">
        <v>22</v>
      </c>
      <c r="I192" s="0" t="s">
        <v>835</v>
      </c>
    </row>
    <row customHeight="1" ht="11.25">
      <c r="A193" s="1854" t="s">
        <v>2291</v>
      </c>
      <c r="B193" s="1854" t="s">
        <v>16</v>
      </c>
      <c r="C193" s="0" t="s">
        <v>2955</v>
      </c>
      <c r="D193" s="0" t="s">
        <v>2956</v>
      </c>
      <c r="E193" s="0" t="s">
        <v>2957</v>
      </c>
      <c r="F193" s="0" t="s">
        <v>2420</v>
      </c>
      <c r="G193" s="0" t="s">
        <v>22</v>
      </c>
      <c r="H193" s="0" t="s">
        <v>22</v>
      </c>
      <c r="I193" s="0" t="s">
        <v>835</v>
      </c>
    </row>
    <row customHeight="1" ht="11.25">
      <c r="A194" s="1854" t="s">
        <v>2291</v>
      </c>
      <c r="B194" s="1854" t="s">
        <v>16</v>
      </c>
      <c r="C194" s="0" t="s">
        <v>2958</v>
      </c>
      <c r="D194" s="0" t="s">
        <v>2959</v>
      </c>
      <c r="E194" s="0" t="s">
        <v>2960</v>
      </c>
      <c r="F194" s="0" t="s">
        <v>2309</v>
      </c>
      <c r="G194" s="0" t="s">
        <v>22</v>
      </c>
      <c r="H194" s="0" t="s">
        <v>22</v>
      </c>
      <c r="I194" s="0" t="s">
        <v>835</v>
      </c>
    </row>
    <row customHeight="1" ht="11.25">
      <c r="A195" s="1854" t="s">
        <v>2291</v>
      </c>
      <c r="B195" s="1854" t="s">
        <v>16</v>
      </c>
      <c r="C195" s="0" t="s">
        <v>2961</v>
      </c>
      <c r="D195" s="0" t="s">
        <v>2962</v>
      </c>
      <c r="E195" s="0" t="s">
        <v>2963</v>
      </c>
      <c r="F195" s="0" t="s">
        <v>2750</v>
      </c>
      <c r="G195" s="0" t="s">
        <v>22</v>
      </c>
      <c r="H195" s="0" t="s">
        <v>22</v>
      </c>
      <c r="I195" s="0" t="s">
        <v>835</v>
      </c>
    </row>
    <row customHeight="1" ht="11.25">
      <c r="A196" s="1854" t="s">
        <v>2291</v>
      </c>
      <c r="B196" s="1854" t="s">
        <v>16</v>
      </c>
      <c r="C196" s="0" t="s">
        <v>2964</v>
      </c>
      <c r="D196" s="0" t="s">
        <v>2965</v>
      </c>
      <c r="E196" s="0" t="s">
        <v>2966</v>
      </c>
      <c r="F196" s="0" t="s">
        <v>2632</v>
      </c>
      <c r="G196" s="0" t="s">
        <v>22</v>
      </c>
      <c r="H196" s="0" t="s">
        <v>22</v>
      </c>
      <c r="I196" s="0" t="s">
        <v>835</v>
      </c>
    </row>
    <row customHeight="1" ht="11.25">
      <c r="A197" s="1854" t="s">
        <v>2291</v>
      </c>
      <c r="B197" s="1854" t="s">
        <v>16</v>
      </c>
      <c r="C197" s="0" t="s">
        <v>2967</v>
      </c>
      <c r="D197" s="0" t="s">
        <v>2968</v>
      </c>
      <c r="E197" s="0" t="s">
        <v>2969</v>
      </c>
      <c r="F197" s="0" t="s">
        <v>2750</v>
      </c>
      <c r="G197" s="0" t="s">
        <v>22</v>
      </c>
      <c r="H197" s="0" t="s">
        <v>22</v>
      </c>
      <c r="I197" s="0" t="s">
        <v>835</v>
      </c>
    </row>
    <row customHeight="1" ht="11.25">
      <c r="A198" s="1854" t="s">
        <v>2291</v>
      </c>
      <c r="B198" s="1854" t="s">
        <v>16</v>
      </c>
      <c r="C198" s="0" t="s">
        <v>2970</v>
      </c>
      <c r="D198" s="0" t="s">
        <v>2971</v>
      </c>
      <c r="E198" s="0" t="s">
        <v>2972</v>
      </c>
      <c r="F198" s="0" t="s">
        <v>2420</v>
      </c>
      <c r="G198" s="0" t="s">
        <v>22</v>
      </c>
      <c r="H198" s="0" t="s">
        <v>22</v>
      </c>
      <c r="I198" s="0" t="s">
        <v>835</v>
      </c>
    </row>
    <row customHeight="1" ht="11.25">
      <c r="A199" s="1854" t="s">
        <v>2291</v>
      </c>
      <c r="B199" s="1854" t="s">
        <v>16</v>
      </c>
      <c r="C199" s="0" t="s">
        <v>2973</v>
      </c>
      <c r="D199" s="0" t="s">
        <v>2974</v>
      </c>
      <c r="E199" s="0" t="s">
        <v>2975</v>
      </c>
      <c r="F199" s="0" t="s">
        <v>2640</v>
      </c>
      <c r="G199" s="0" t="s">
        <v>22</v>
      </c>
      <c r="H199" s="0" t="s">
        <v>22</v>
      </c>
      <c r="I199" s="0" t="s">
        <v>835</v>
      </c>
    </row>
    <row customHeight="1" ht="11.25">
      <c r="A200" s="1854" t="s">
        <v>2291</v>
      </c>
      <c r="B200" s="1854" t="s">
        <v>16</v>
      </c>
      <c r="C200" s="0" t="s">
        <v>2976</v>
      </c>
      <c r="D200" s="0" t="s">
        <v>2977</v>
      </c>
      <c r="E200" s="0" t="s">
        <v>2978</v>
      </c>
      <c r="F200" s="0" t="s">
        <v>2467</v>
      </c>
      <c r="G200" s="0" t="s">
        <v>2979</v>
      </c>
      <c r="H200" s="0" t="s">
        <v>22</v>
      </c>
      <c r="I200" s="0" t="s">
        <v>835</v>
      </c>
    </row>
    <row customHeight="1" ht="11.25">
      <c r="A201" s="1854" t="s">
        <v>2291</v>
      </c>
      <c r="B201" s="1854" t="s">
        <v>16</v>
      </c>
      <c r="C201" s="0" t="s">
        <v>2980</v>
      </c>
      <c r="D201" s="0" t="s">
        <v>2981</v>
      </c>
      <c r="E201" s="0" t="s">
        <v>2982</v>
      </c>
      <c r="F201" s="0" t="s">
        <v>2425</v>
      </c>
      <c r="G201" s="0" t="s">
        <v>22</v>
      </c>
      <c r="H201" s="0" t="s">
        <v>22</v>
      </c>
      <c r="I201" s="0" t="s">
        <v>835</v>
      </c>
    </row>
    <row customHeight="1" ht="11.25">
      <c r="A202" s="1854" t="s">
        <v>2291</v>
      </c>
      <c r="B202" s="1854" t="s">
        <v>16</v>
      </c>
      <c r="C202" s="0" t="s">
        <v>2983</v>
      </c>
      <c r="D202" s="0" t="s">
        <v>2984</v>
      </c>
      <c r="E202" s="0" t="s">
        <v>2985</v>
      </c>
      <c r="F202" s="0" t="s">
        <v>2632</v>
      </c>
      <c r="G202" s="0" t="s">
        <v>22</v>
      </c>
      <c r="H202" s="0" t="s">
        <v>22</v>
      </c>
      <c r="I202" s="0" t="s">
        <v>835</v>
      </c>
    </row>
    <row customHeight="1" ht="11.25">
      <c r="A203" s="1854" t="s">
        <v>2291</v>
      </c>
      <c r="B203" s="1854" t="s">
        <v>16</v>
      </c>
      <c r="C203" s="0" t="s">
        <v>2986</v>
      </c>
      <c r="D203" s="0" t="s">
        <v>2987</v>
      </c>
      <c r="E203" s="0" t="s">
        <v>2988</v>
      </c>
      <c r="F203" s="0" t="s">
        <v>2416</v>
      </c>
      <c r="G203" s="0" t="s">
        <v>22</v>
      </c>
      <c r="H203" s="0" t="s">
        <v>22</v>
      </c>
      <c r="I203" s="0" t="s">
        <v>835</v>
      </c>
    </row>
    <row customHeight="1" ht="11.25">
      <c r="A204" s="1854" t="s">
        <v>2291</v>
      </c>
      <c r="B204" s="1854" t="s">
        <v>16</v>
      </c>
      <c r="C204" s="0" t="s">
        <v>2989</v>
      </c>
      <c r="D204" s="0" t="s">
        <v>2990</v>
      </c>
      <c r="E204" s="0" t="s">
        <v>2991</v>
      </c>
      <c r="F204" s="0" t="s">
        <v>2351</v>
      </c>
      <c r="G204" s="0" t="s">
        <v>22</v>
      </c>
      <c r="H204" s="0" t="s">
        <v>22</v>
      </c>
      <c r="I204" s="0" t="s">
        <v>835</v>
      </c>
    </row>
    <row customHeight="1" ht="11.25">
      <c r="A205" s="1854" t="s">
        <v>2291</v>
      </c>
      <c r="B205" s="1854" t="s">
        <v>16</v>
      </c>
      <c r="C205" s="0" t="s">
        <v>2992</v>
      </c>
      <c r="D205" s="0" t="s">
        <v>2993</v>
      </c>
      <c r="E205" s="0" t="s">
        <v>2994</v>
      </c>
      <c r="F205" s="0" t="s">
        <v>2322</v>
      </c>
      <c r="G205" s="0" t="s">
        <v>22</v>
      </c>
      <c r="H205" s="0" t="s">
        <v>22</v>
      </c>
      <c r="I205" s="0" t="s">
        <v>835</v>
      </c>
    </row>
    <row customHeight="1" ht="11.25">
      <c r="A206" s="1854" t="s">
        <v>2291</v>
      </c>
      <c r="B206" s="1854" t="s">
        <v>16</v>
      </c>
      <c r="C206" s="0" t="s">
        <v>2995</v>
      </c>
      <c r="D206" s="0" t="s">
        <v>2996</v>
      </c>
      <c r="E206" s="0" t="s">
        <v>2997</v>
      </c>
      <c r="F206" s="0" t="s">
        <v>2632</v>
      </c>
      <c r="G206" s="0" t="s">
        <v>22</v>
      </c>
      <c r="H206" s="0" t="s">
        <v>22</v>
      </c>
      <c r="I206" s="0" t="s">
        <v>835</v>
      </c>
    </row>
    <row customHeight="1" ht="11.25">
      <c r="A207" s="1854" t="s">
        <v>2291</v>
      </c>
      <c r="B207" s="1854" t="s">
        <v>16</v>
      </c>
      <c r="C207" s="0" t="s">
        <v>2998</v>
      </c>
      <c r="D207" s="0" t="s">
        <v>2999</v>
      </c>
      <c r="E207" s="0" t="s">
        <v>3000</v>
      </c>
      <c r="F207" s="0" t="s">
        <v>2377</v>
      </c>
      <c r="G207" s="0" t="s">
        <v>22</v>
      </c>
      <c r="H207" s="0" t="s">
        <v>22</v>
      </c>
      <c r="I207" s="0" t="s">
        <v>835</v>
      </c>
    </row>
    <row customHeight="1" ht="11.25">
      <c r="A208" s="1854" t="s">
        <v>2291</v>
      </c>
      <c r="B208" s="1854" t="s">
        <v>16</v>
      </c>
      <c r="C208" s="0" t="s">
        <v>3001</v>
      </c>
      <c r="D208" s="0" t="s">
        <v>3002</v>
      </c>
      <c r="E208" s="0" t="s">
        <v>3003</v>
      </c>
      <c r="F208" s="0" t="s">
        <v>2640</v>
      </c>
      <c r="G208" s="0" t="s">
        <v>22</v>
      </c>
      <c r="H208" s="0" t="s">
        <v>22</v>
      </c>
      <c r="I208" s="0" t="s">
        <v>835</v>
      </c>
    </row>
    <row customHeight="1" ht="11.25">
      <c r="A209" s="1854" t="s">
        <v>2291</v>
      </c>
      <c r="B209" s="1854" t="s">
        <v>16</v>
      </c>
      <c r="C209" s="0" t="s">
        <v>3004</v>
      </c>
      <c r="D209" s="0" t="s">
        <v>3005</v>
      </c>
      <c r="E209" s="0" t="s">
        <v>3006</v>
      </c>
      <c r="F209" s="0" t="s">
        <v>2322</v>
      </c>
      <c r="G209" s="0" t="s">
        <v>22</v>
      </c>
      <c r="H209" s="0" t="s">
        <v>22</v>
      </c>
      <c r="I209" s="0" t="s">
        <v>835</v>
      </c>
    </row>
    <row customHeight="1" ht="11.25">
      <c r="A210" s="1854" t="s">
        <v>2291</v>
      </c>
      <c r="B210" s="1854" t="s">
        <v>16</v>
      </c>
      <c r="C210" s="0" t="s">
        <v>3007</v>
      </c>
      <c r="D210" s="0" t="s">
        <v>3008</v>
      </c>
      <c r="E210" s="0" t="s">
        <v>3009</v>
      </c>
      <c r="F210" s="0" t="s">
        <v>2313</v>
      </c>
      <c r="G210" s="0" t="s">
        <v>22</v>
      </c>
      <c r="H210" s="0" t="s">
        <v>22</v>
      </c>
      <c r="I210" s="0" t="s">
        <v>835</v>
      </c>
    </row>
    <row customHeight="1" ht="11.25">
      <c r="A211" s="1854" t="s">
        <v>2291</v>
      </c>
      <c r="B211" s="1854" t="s">
        <v>16</v>
      </c>
      <c r="C211" s="0" t="s">
        <v>3010</v>
      </c>
      <c r="D211" s="0" t="s">
        <v>3011</v>
      </c>
      <c r="E211" s="0" t="s">
        <v>3012</v>
      </c>
      <c r="F211" s="0" t="s">
        <v>3013</v>
      </c>
      <c r="G211" s="0" t="s">
        <v>22</v>
      </c>
      <c r="H211" s="0" t="s">
        <v>22</v>
      </c>
      <c r="I211" s="0" t="s">
        <v>835</v>
      </c>
    </row>
    <row customHeight="1" ht="11.25">
      <c r="A212" s="1854" t="s">
        <v>2291</v>
      </c>
      <c r="B212" s="1854" t="s">
        <v>16</v>
      </c>
      <c r="C212" s="0" t="s">
        <v>3014</v>
      </c>
      <c r="D212" s="0" t="s">
        <v>3015</v>
      </c>
      <c r="E212" s="0" t="s">
        <v>3016</v>
      </c>
      <c r="F212" s="0" t="s">
        <v>3017</v>
      </c>
      <c r="G212" s="0" t="s">
        <v>22</v>
      </c>
      <c r="H212" s="0" t="s">
        <v>22</v>
      </c>
      <c r="I212" s="0" t="s">
        <v>835</v>
      </c>
    </row>
    <row customHeight="1" ht="11.25">
      <c r="A213" s="1854" t="s">
        <v>2291</v>
      </c>
      <c r="B213" s="1854" t="s">
        <v>16</v>
      </c>
      <c r="C213" s="0" t="s">
        <v>3018</v>
      </c>
      <c r="D213" s="0" t="s">
        <v>3019</v>
      </c>
      <c r="E213" s="0" t="s">
        <v>3020</v>
      </c>
      <c r="F213" s="0" t="s">
        <v>3021</v>
      </c>
      <c r="G213" s="0" t="s">
        <v>22</v>
      </c>
      <c r="H213" s="0" t="s">
        <v>22</v>
      </c>
      <c r="I213" s="0" t="s">
        <v>835</v>
      </c>
    </row>
    <row customHeight="1" ht="11.25">
      <c r="A214" s="1854" t="s">
        <v>2291</v>
      </c>
      <c r="B214" s="1854" t="s">
        <v>16</v>
      </c>
      <c r="C214" s="0" t="s">
        <v>3022</v>
      </c>
      <c r="D214" s="0" t="s">
        <v>3023</v>
      </c>
      <c r="E214" s="0" t="s">
        <v>3024</v>
      </c>
      <c r="F214" s="0" t="s">
        <v>2750</v>
      </c>
      <c r="G214" s="0" t="s">
        <v>3025</v>
      </c>
      <c r="H214" s="0" t="s">
        <v>22</v>
      </c>
      <c r="I214" s="0" t="s">
        <v>835</v>
      </c>
    </row>
    <row customHeight="1" ht="11.25">
      <c r="A215" s="1854" t="s">
        <v>2291</v>
      </c>
      <c r="B215" s="1854" t="s">
        <v>16</v>
      </c>
      <c r="C215" s="0" t="s">
        <v>3026</v>
      </c>
      <c r="D215" s="0" t="s">
        <v>3027</v>
      </c>
      <c r="E215" s="0" t="s">
        <v>3028</v>
      </c>
      <c r="F215" s="0" t="s">
        <v>2750</v>
      </c>
      <c r="G215" s="0" t="s">
        <v>3029</v>
      </c>
      <c r="H215" s="0" t="s">
        <v>22</v>
      </c>
      <c r="I215" s="0" t="s">
        <v>835</v>
      </c>
    </row>
    <row customHeight="1" ht="11.25">
      <c r="A216" s="1854" t="s">
        <v>2291</v>
      </c>
      <c r="B216" s="1854" t="s">
        <v>16</v>
      </c>
      <c r="C216" s="0" t="s">
        <v>3030</v>
      </c>
      <c r="D216" s="0" t="s">
        <v>3031</v>
      </c>
      <c r="E216" s="0" t="s">
        <v>3032</v>
      </c>
      <c r="F216" s="0" t="s">
        <v>2750</v>
      </c>
      <c r="G216" s="0" t="s">
        <v>3033</v>
      </c>
      <c r="H216" s="0" t="s">
        <v>22</v>
      </c>
      <c r="I216" s="0" t="s">
        <v>835</v>
      </c>
    </row>
    <row customHeight="1" ht="11.25">
      <c r="A217" s="1854" t="s">
        <v>2291</v>
      </c>
      <c r="B217" s="1854" t="s">
        <v>16</v>
      </c>
      <c r="C217" s="0" t="s">
        <v>3034</v>
      </c>
      <c r="D217" s="0" t="s">
        <v>3035</v>
      </c>
      <c r="E217" s="0" t="s">
        <v>3036</v>
      </c>
      <c r="F217" s="0" t="s">
        <v>2750</v>
      </c>
      <c r="G217" s="0" t="s">
        <v>3037</v>
      </c>
      <c r="H217" s="0" t="s">
        <v>22</v>
      </c>
      <c r="I217" s="0" t="s">
        <v>835</v>
      </c>
    </row>
    <row customHeight="1" ht="11.25">
      <c r="A218" s="1854" t="s">
        <v>2291</v>
      </c>
      <c r="B218" s="1854" t="s">
        <v>16</v>
      </c>
      <c r="C218" s="0" t="s">
        <v>3038</v>
      </c>
      <c r="D218" s="0" t="s">
        <v>3039</v>
      </c>
      <c r="E218" s="0" t="s">
        <v>3040</v>
      </c>
      <c r="F218" s="0" t="s">
        <v>2750</v>
      </c>
      <c r="G218" s="0" t="s">
        <v>22</v>
      </c>
      <c r="H218" s="0" t="s">
        <v>22</v>
      </c>
      <c r="I218" s="0" t="s">
        <v>835</v>
      </c>
    </row>
    <row customHeight="1" ht="11.25">
      <c r="A219" s="1854" t="s">
        <v>2291</v>
      </c>
      <c r="B219" s="1854" t="s">
        <v>16</v>
      </c>
      <c r="C219" s="0" t="s">
        <v>3041</v>
      </c>
      <c r="D219" s="0" t="s">
        <v>3042</v>
      </c>
      <c r="E219" s="0" t="s">
        <v>3043</v>
      </c>
      <c r="F219" s="0" t="s">
        <v>3021</v>
      </c>
      <c r="G219" s="0" t="s">
        <v>22</v>
      </c>
      <c r="H219" s="0" t="s">
        <v>22</v>
      </c>
      <c r="I219" s="0" t="s">
        <v>835</v>
      </c>
    </row>
    <row customHeight="1" ht="11.25">
      <c r="A220" s="1854" t="s">
        <v>2291</v>
      </c>
      <c r="B220" s="1854" t="s">
        <v>16</v>
      </c>
      <c r="C220" s="0" t="s">
        <v>3044</v>
      </c>
      <c r="D220" s="0" t="s">
        <v>3045</v>
      </c>
      <c r="E220" s="0" t="s">
        <v>3046</v>
      </c>
      <c r="F220" s="0" t="s">
        <v>3021</v>
      </c>
      <c r="G220" s="0" t="s">
        <v>22</v>
      </c>
      <c r="H220" s="0" t="s">
        <v>22</v>
      </c>
      <c r="I220" s="0" t="s">
        <v>835</v>
      </c>
    </row>
    <row customHeight="1" ht="11.25">
      <c r="A221" s="1854" t="s">
        <v>2291</v>
      </c>
      <c r="B221" s="1854" t="s">
        <v>16</v>
      </c>
      <c r="C221" s="0" t="s">
        <v>3047</v>
      </c>
      <c r="D221" s="0" t="s">
        <v>3048</v>
      </c>
      <c r="E221" s="0" t="s">
        <v>3049</v>
      </c>
      <c r="F221" s="0" t="s">
        <v>3021</v>
      </c>
      <c r="G221" s="0" t="s">
        <v>22</v>
      </c>
      <c r="H221" s="0" t="s">
        <v>22</v>
      </c>
      <c r="I221" s="0" t="s">
        <v>835</v>
      </c>
    </row>
    <row customHeight="1" ht="11.25">
      <c r="A222" s="1854" t="s">
        <v>2291</v>
      </c>
      <c r="B222" s="1854" t="s">
        <v>16</v>
      </c>
      <c r="C222" s="0" t="s">
        <v>3050</v>
      </c>
      <c r="D222" s="0" t="s">
        <v>3051</v>
      </c>
      <c r="E222" s="0" t="s">
        <v>3052</v>
      </c>
      <c r="F222" s="0" t="s">
        <v>2750</v>
      </c>
      <c r="G222" s="0" t="s">
        <v>22</v>
      </c>
      <c r="H222" s="0" t="s">
        <v>22</v>
      </c>
      <c r="I222" s="0" t="s">
        <v>835</v>
      </c>
    </row>
    <row customHeight="1" ht="11.25">
      <c r="A223" s="1854" t="s">
        <v>2291</v>
      </c>
      <c r="B223" s="1854" t="s">
        <v>16</v>
      </c>
      <c r="C223" s="0" t="s">
        <v>3053</v>
      </c>
      <c r="D223" s="0" t="s">
        <v>3054</v>
      </c>
      <c r="E223" s="0" t="s">
        <v>3055</v>
      </c>
      <c r="F223" s="0" t="s">
        <v>2420</v>
      </c>
      <c r="G223" s="0" t="s">
        <v>22</v>
      </c>
      <c r="H223" s="0" t="s">
        <v>22</v>
      </c>
      <c r="I223" s="0" t="s">
        <v>835</v>
      </c>
    </row>
    <row customHeight="1" ht="11.25">
      <c r="A224" s="1854" t="s">
        <v>2291</v>
      </c>
      <c r="B224" s="1854" t="s">
        <v>16</v>
      </c>
      <c r="C224" s="0" t="s">
        <v>3056</v>
      </c>
      <c r="D224" s="0" t="s">
        <v>3057</v>
      </c>
      <c r="E224" s="0" t="s">
        <v>3058</v>
      </c>
      <c r="F224" s="0" t="s">
        <v>2295</v>
      </c>
      <c r="G224" s="0" t="s">
        <v>3059</v>
      </c>
      <c r="H224" s="0" t="s">
        <v>22</v>
      </c>
      <c r="I224" s="0" t="s">
        <v>835</v>
      </c>
    </row>
    <row customHeight="1" ht="11.25">
      <c r="A225" s="1854" t="s">
        <v>2291</v>
      </c>
      <c r="B225" s="1854" t="s">
        <v>16</v>
      </c>
      <c r="C225" s="0" t="s">
        <v>3060</v>
      </c>
      <c r="D225" s="0" t="s">
        <v>3061</v>
      </c>
      <c r="E225" s="0" t="s">
        <v>3062</v>
      </c>
      <c r="F225" s="0" t="s">
        <v>2309</v>
      </c>
      <c r="G225" s="0" t="s">
        <v>3063</v>
      </c>
      <c r="H225" s="0" t="s">
        <v>22</v>
      </c>
      <c r="I225" s="0" t="s">
        <v>835</v>
      </c>
    </row>
    <row customHeight="1" ht="11.25">
      <c r="A226" s="1854" t="s">
        <v>2291</v>
      </c>
      <c r="B226" s="1854" t="s">
        <v>16</v>
      </c>
      <c r="C226" s="0" t="s">
        <v>3064</v>
      </c>
      <c r="D226" s="0" t="s">
        <v>3065</v>
      </c>
      <c r="E226" s="0" t="s">
        <v>3066</v>
      </c>
      <c r="F226" s="0" t="s">
        <v>2640</v>
      </c>
      <c r="G226" s="0" t="s">
        <v>22</v>
      </c>
      <c r="H226" s="0" t="s">
        <v>22</v>
      </c>
      <c r="I226" s="0" t="s">
        <v>835</v>
      </c>
    </row>
    <row customHeight="1" ht="11.25">
      <c r="A227" s="1854" t="s">
        <v>2291</v>
      </c>
      <c r="B227" s="1854" t="s">
        <v>16</v>
      </c>
      <c r="C227" s="0" t="s">
        <v>3067</v>
      </c>
      <c r="D227" s="0" t="s">
        <v>3068</v>
      </c>
      <c r="E227" s="0" t="s">
        <v>3069</v>
      </c>
      <c r="F227" s="0" t="s">
        <v>2351</v>
      </c>
      <c r="G227" s="0" t="s">
        <v>3070</v>
      </c>
      <c r="H227" s="0" t="s">
        <v>22</v>
      </c>
      <c r="I227" s="0" t="s">
        <v>835</v>
      </c>
    </row>
    <row customHeight="1" ht="11.25">
      <c r="A228" s="1854" t="s">
        <v>2291</v>
      </c>
      <c r="B228" s="1854" t="s">
        <v>16</v>
      </c>
      <c r="C228" s="0" t="s">
        <v>3071</v>
      </c>
      <c r="D228" s="0" t="s">
        <v>3072</v>
      </c>
      <c r="E228" s="0" t="s">
        <v>3073</v>
      </c>
      <c r="F228" s="0" t="s">
        <v>2420</v>
      </c>
      <c r="G228" s="0" t="s">
        <v>3074</v>
      </c>
      <c r="H228" s="0" t="s">
        <v>22</v>
      </c>
      <c r="I228" s="0" t="s">
        <v>835</v>
      </c>
    </row>
    <row customHeight="1" ht="11.25">
      <c r="A229" s="1854" t="s">
        <v>2291</v>
      </c>
      <c r="B229" s="1854" t="s">
        <v>16</v>
      </c>
      <c r="C229" s="0" t="s">
        <v>3075</v>
      </c>
      <c r="D229" s="0" t="s">
        <v>3076</v>
      </c>
      <c r="E229" s="0" t="s">
        <v>3077</v>
      </c>
      <c r="F229" s="0" t="s">
        <v>2401</v>
      </c>
      <c r="G229" s="0" t="s">
        <v>3078</v>
      </c>
      <c r="H229" s="0" t="s">
        <v>22</v>
      </c>
      <c r="I229" s="0" t="s">
        <v>835</v>
      </c>
    </row>
    <row customHeight="1" ht="11.25">
      <c r="A230" s="1854" t="s">
        <v>2291</v>
      </c>
      <c r="B230" s="1854" t="s">
        <v>16</v>
      </c>
      <c r="C230" s="0" t="s">
        <v>3079</v>
      </c>
      <c r="D230" s="0" t="s">
        <v>3080</v>
      </c>
      <c r="E230" s="0" t="s">
        <v>3081</v>
      </c>
      <c r="F230" s="0" t="s">
        <v>2322</v>
      </c>
      <c r="G230" s="0" t="s">
        <v>22</v>
      </c>
      <c r="H230" s="0" t="s">
        <v>22</v>
      </c>
      <c r="I230" s="0" t="s">
        <v>835</v>
      </c>
    </row>
    <row customHeight="1" ht="11.25">
      <c r="A231" s="1854" t="s">
        <v>2291</v>
      </c>
      <c r="B231" s="1854" t="s">
        <v>16</v>
      </c>
      <c r="C231" s="0" t="s">
        <v>3082</v>
      </c>
      <c r="D231" s="0" t="s">
        <v>3083</v>
      </c>
      <c r="E231" s="0" t="s">
        <v>3084</v>
      </c>
      <c r="F231" s="0" t="s">
        <v>2425</v>
      </c>
      <c r="G231" s="0" t="s">
        <v>22</v>
      </c>
      <c r="H231" s="0" t="s">
        <v>22</v>
      </c>
      <c r="I231" s="0" t="s">
        <v>835</v>
      </c>
    </row>
    <row customHeight="1" ht="11.25">
      <c r="A232" s="1854" t="s">
        <v>2291</v>
      </c>
      <c r="B232" s="1854" t="s">
        <v>16</v>
      </c>
      <c r="C232" s="0" t="s">
        <v>3085</v>
      </c>
      <c r="D232" s="0" t="s">
        <v>3086</v>
      </c>
      <c r="E232" s="0" t="s">
        <v>3087</v>
      </c>
      <c r="F232" s="0" t="s">
        <v>2425</v>
      </c>
      <c r="G232" s="0" t="s">
        <v>3088</v>
      </c>
      <c r="H232" s="0" t="s">
        <v>22</v>
      </c>
      <c r="I232" s="0" t="s">
        <v>835</v>
      </c>
    </row>
    <row customHeight="1" ht="11.25">
      <c r="A233" s="1854" t="s">
        <v>2291</v>
      </c>
      <c r="B233" s="1854" t="s">
        <v>16</v>
      </c>
      <c r="C233" s="0" t="s">
        <v>3089</v>
      </c>
      <c r="D233" s="0" t="s">
        <v>3090</v>
      </c>
      <c r="E233" s="0" t="s">
        <v>3091</v>
      </c>
      <c r="F233" s="0" t="s">
        <v>2788</v>
      </c>
      <c r="G233" s="0" t="s">
        <v>3092</v>
      </c>
      <c r="H233" s="0" t="s">
        <v>22</v>
      </c>
      <c r="I233" s="0" t="s">
        <v>835</v>
      </c>
    </row>
    <row customHeight="1" ht="11.25">
      <c r="A234" s="1854" t="s">
        <v>2291</v>
      </c>
      <c r="B234" s="1854" t="s">
        <v>16</v>
      </c>
      <c r="C234" s="0" t="s">
        <v>3093</v>
      </c>
      <c r="D234" s="0" t="s">
        <v>3094</v>
      </c>
      <c r="E234" s="0" t="s">
        <v>3095</v>
      </c>
      <c r="F234" s="0" t="s">
        <v>2750</v>
      </c>
      <c r="G234" s="0" t="s">
        <v>22</v>
      </c>
      <c r="H234" s="0" t="s">
        <v>22</v>
      </c>
      <c r="I234" s="0" t="s">
        <v>835</v>
      </c>
    </row>
    <row customHeight="1" ht="11.25">
      <c r="A235" s="1854" t="s">
        <v>2291</v>
      </c>
      <c r="B235" s="1854" t="s">
        <v>16</v>
      </c>
      <c r="C235" s="0" t="s">
        <v>3096</v>
      </c>
      <c r="D235" s="0" t="s">
        <v>3097</v>
      </c>
      <c r="E235" s="0" t="s">
        <v>3098</v>
      </c>
      <c r="F235" s="0" t="s">
        <v>2425</v>
      </c>
      <c r="G235" s="0" t="s">
        <v>22</v>
      </c>
      <c r="H235" s="0" t="s">
        <v>22</v>
      </c>
      <c r="I235" s="0" t="s">
        <v>835</v>
      </c>
    </row>
    <row customHeight="1" ht="11.25">
      <c r="A236" s="1854" t="s">
        <v>2291</v>
      </c>
      <c r="B236" s="1854" t="s">
        <v>16</v>
      </c>
      <c r="C236" s="0" t="s">
        <v>3099</v>
      </c>
      <c r="D236" s="0" t="s">
        <v>3100</v>
      </c>
      <c r="E236" s="0" t="s">
        <v>3101</v>
      </c>
      <c r="F236" s="0" t="s">
        <v>2322</v>
      </c>
      <c r="G236" s="0" t="s">
        <v>3102</v>
      </c>
      <c r="H236" s="0" t="s">
        <v>22</v>
      </c>
      <c r="I236" s="0" t="s">
        <v>835</v>
      </c>
    </row>
    <row customHeight="1" ht="11.25">
      <c r="A237" s="1854" t="s">
        <v>2291</v>
      </c>
      <c r="B237" s="1854" t="s">
        <v>16</v>
      </c>
      <c r="C237" s="0" t="s">
        <v>3103</v>
      </c>
      <c r="D237" s="0" t="s">
        <v>3104</v>
      </c>
      <c r="E237" s="0" t="s">
        <v>3105</v>
      </c>
      <c r="F237" s="0" t="s">
        <v>2640</v>
      </c>
      <c r="G237" s="0" t="s">
        <v>3106</v>
      </c>
      <c r="H237" s="0" t="s">
        <v>22</v>
      </c>
      <c r="I237" s="0" t="s">
        <v>835</v>
      </c>
    </row>
    <row customHeight="1" ht="11.25">
      <c r="A238" s="1854" t="s">
        <v>2291</v>
      </c>
      <c r="B238" s="1854" t="s">
        <v>16</v>
      </c>
      <c r="C238" s="0" t="s">
        <v>3107</v>
      </c>
      <c r="D238" s="0" t="s">
        <v>3108</v>
      </c>
      <c r="E238" s="0" t="s">
        <v>3109</v>
      </c>
      <c r="F238" s="0" t="s">
        <v>2640</v>
      </c>
      <c r="G238" s="0" t="s">
        <v>3110</v>
      </c>
      <c r="H238" s="0" t="s">
        <v>22</v>
      </c>
      <c r="I238" s="0" t="s">
        <v>835</v>
      </c>
    </row>
    <row customHeight="1" ht="11.25">
      <c r="A239" s="1854" t="s">
        <v>2291</v>
      </c>
      <c r="B239" s="1854" t="s">
        <v>16</v>
      </c>
      <c r="C239" s="0" t="s">
        <v>3111</v>
      </c>
      <c r="D239" s="0" t="s">
        <v>3112</v>
      </c>
      <c r="E239" s="0" t="s">
        <v>3113</v>
      </c>
      <c r="F239" s="0" t="s">
        <v>2632</v>
      </c>
      <c r="G239" s="0" t="s">
        <v>22</v>
      </c>
      <c r="H239" s="0" t="s">
        <v>3114</v>
      </c>
      <c r="I239" s="0" t="s">
        <v>835</v>
      </c>
    </row>
    <row customHeight="1" ht="11.25">
      <c r="A240" s="1854" t="s">
        <v>2291</v>
      </c>
      <c r="B240" s="1854" t="s">
        <v>16</v>
      </c>
      <c r="C240" s="0" t="s">
        <v>3115</v>
      </c>
      <c r="D240" s="0" t="s">
        <v>3116</v>
      </c>
      <c r="E240" s="0" t="s">
        <v>3117</v>
      </c>
      <c r="F240" s="0" t="s">
        <v>2750</v>
      </c>
      <c r="G240" s="0" t="s">
        <v>3118</v>
      </c>
      <c r="H240" s="0" t="s">
        <v>22</v>
      </c>
      <c r="I240" s="0" t="s">
        <v>835</v>
      </c>
    </row>
    <row customHeight="1" ht="11.25">
      <c r="A241" s="1854" t="s">
        <v>2291</v>
      </c>
      <c r="B241" s="1854" t="s">
        <v>16</v>
      </c>
      <c r="C241" s="0" t="s">
        <v>3119</v>
      </c>
      <c r="D241" s="0" t="s">
        <v>3120</v>
      </c>
      <c r="E241" s="0" t="s">
        <v>3121</v>
      </c>
      <c r="F241" s="0" t="s">
        <v>2309</v>
      </c>
      <c r="G241" s="0" t="s">
        <v>3122</v>
      </c>
      <c r="H241" s="0" t="s">
        <v>22</v>
      </c>
      <c r="I241" s="0" t="s">
        <v>835</v>
      </c>
    </row>
    <row customHeight="1" ht="11.25">
      <c r="A242" s="1854" t="s">
        <v>2291</v>
      </c>
      <c r="B242" s="1854" t="s">
        <v>16</v>
      </c>
      <c r="C242" s="0" t="s">
        <v>3123</v>
      </c>
      <c r="D242" s="0" t="s">
        <v>3124</v>
      </c>
      <c r="E242" s="0" t="s">
        <v>3125</v>
      </c>
      <c r="F242" s="0" t="s">
        <v>2322</v>
      </c>
      <c r="G242" s="0" t="s">
        <v>22</v>
      </c>
      <c r="H242" s="0" t="s">
        <v>22</v>
      </c>
      <c r="I242" s="0" t="s">
        <v>835</v>
      </c>
    </row>
    <row customHeight="1" ht="11.25">
      <c r="A243" s="1854" t="s">
        <v>2291</v>
      </c>
      <c r="B243" s="1854" t="s">
        <v>16</v>
      </c>
      <c r="C243" s="0" t="s">
        <v>3126</v>
      </c>
      <c r="D243" s="0" t="s">
        <v>3127</v>
      </c>
      <c r="E243" s="0" t="s">
        <v>3128</v>
      </c>
      <c r="F243" s="0" t="s">
        <v>2420</v>
      </c>
      <c r="G243" s="0" t="s">
        <v>22</v>
      </c>
      <c r="H243" s="0" t="s">
        <v>22</v>
      </c>
      <c r="I243" s="0" t="s">
        <v>835</v>
      </c>
    </row>
    <row customHeight="1" ht="11.25">
      <c r="A244" s="1854" t="s">
        <v>2291</v>
      </c>
      <c r="B244" s="1854" t="s">
        <v>16</v>
      </c>
      <c r="C244" s="0" t="s">
        <v>3129</v>
      </c>
      <c r="D244" s="0" t="s">
        <v>3130</v>
      </c>
      <c r="E244" s="0" t="s">
        <v>3131</v>
      </c>
      <c r="F244" s="0" t="s">
        <v>3132</v>
      </c>
      <c r="G244" s="0" t="s">
        <v>22</v>
      </c>
      <c r="H244" s="0" t="s">
        <v>22</v>
      </c>
      <c r="I244" s="0" t="s">
        <v>835</v>
      </c>
    </row>
    <row customHeight="1" ht="11.25">
      <c r="A245" s="1854" t="s">
        <v>2291</v>
      </c>
      <c r="B245" s="1854" t="s">
        <v>16</v>
      </c>
      <c r="C245" s="0" t="s">
        <v>3133</v>
      </c>
      <c r="D245" s="0" t="s">
        <v>3134</v>
      </c>
      <c r="E245" s="0" t="s">
        <v>3135</v>
      </c>
      <c r="F245" s="0" t="s">
        <v>2351</v>
      </c>
      <c r="G245" s="0" t="s">
        <v>3136</v>
      </c>
      <c r="H245" s="0" t="s">
        <v>22</v>
      </c>
      <c r="I245" s="0" t="s">
        <v>835</v>
      </c>
    </row>
    <row customHeight="1" ht="11.25">
      <c r="A246" s="1854" t="s">
        <v>2291</v>
      </c>
      <c r="B246" s="1854" t="s">
        <v>16</v>
      </c>
      <c r="C246" s="0" t="s">
        <v>3137</v>
      </c>
      <c r="D246" s="0" t="s">
        <v>3138</v>
      </c>
      <c r="E246" s="0" t="s">
        <v>3139</v>
      </c>
      <c r="F246" s="0" t="s">
        <v>2309</v>
      </c>
      <c r="G246" s="0" t="s">
        <v>3140</v>
      </c>
      <c r="H246" s="0" t="s">
        <v>22</v>
      </c>
      <c r="I246" s="0" t="s">
        <v>835</v>
      </c>
    </row>
    <row customHeight="1" ht="11.25">
      <c r="A247" s="1854" t="s">
        <v>2291</v>
      </c>
      <c r="B247" s="1854" t="s">
        <v>16</v>
      </c>
      <c r="C247" s="0" t="s">
        <v>3141</v>
      </c>
      <c r="D247" s="0" t="s">
        <v>3142</v>
      </c>
      <c r="E247" s="0" t="s">
        <v>3143</v>
      </c>
      <c r="F247" s="0" t="s">
        <v>2640</v>
      </c>
      <c r="G247" s="0" t="s">
        <v>3144</v>
      </c>
      <c r="H247" s="0" t="s">
        <v>22</v>
      </c>
      <c r="I247" s="0" t="s">
        <v>835</v>
      </c>
    </row>
    <row customHeight="1" ht="11.25">
      <c r="A248" s="1854" t="s">
        <v>2291</v>
      </c>
      <c r="B248" s="1854" t="s">
        <v>16</v>
      </c>
      <c r="C248" s="0" t="s">
        <v>3145</v>
      </c>
      <c r="D248" s="0" t="s">
        <v>3146</v>
      </c>
      <c r="E248" s="0" t="s">
        <v>3147</v>
      </c>
      <c r="F248" s="0" t="s">
        <v>2351</v>
      </c>
      <c r="G248" s="0" t="s">
        <v>3148</v>
      </c>
      <c r="H248" s="0" t="s">
        <v>22</v>
      </c>
      <c r="I248" s="0" t="s">
        <v>835</v>
      </c>
    </row>
    <row customHeight="1" ht="11.25">
      <c r="A249" s="1854" t="s">
        <v>2291</v>
      </c>
      <c r="B249" s="1854" t="s">
        <v>16</v>
      </c>
      <c r="C249" s="0" t="s">
        <v>3149</v>
      </c>
      <c r="D249" s="0" t="s">
        <v>3150</v>
      </c>
      <c r="E249" s="0" t="s">
        <v>3151</v>
      </c>
      <c r="F249" s="0" t="s">
        <v>2322</v>
      </c>
      <c r="G249" s="0" t="s">
        <v>3152</v>
      </c>
      <c r="H249" s="0" t="s">
        <v>22</v>
      </c>
      <c r="I249" s="0" t="s">
        <v>835</v>
      </c>
    </row>
    <row customHeight="1" ht="11.25">
      <c r="A250" s="1854" t="s">
        <v>2291</v>
      </c>
      <c r="B250" s="1854" t="s">
        <v>16</v>
      </c>
      <c r="C250" s="0" t="s">
        <v>3153</v>
      </c>
      <c r="D250" s="0" t="s">
        <v>3154</v>
      </c>
      <c r="E250" s="0" t="s">
        <v>3155</v>
      </c>
      <c r="F250" s="0" t="s">
        <v>2322</v>
      </c>
      <c r="G250" s="0" t="s">
        <v>3106</v>
      </c>
      <c r="H250" s="0" t="s">
        <v>22</v>
      </c>
      <c r="I250" s="0" t="s">
        <v>835</v>
      </c>
    </row>
    <row customHeight="1" ht="11.25">
      <c r="A251" s="1854" t="s">
        <v>2291</v>
      </c>
      <c r="B251" s="1854" t="s">
        <v>16</v>
      </c>
      <c r="C251" s="0" t="s">
        <v>3156</v>
      </c>
      <c r="D251" s="0" t="s">
        <v>3157</v>
      </c>
      <c r="E251" s="0" t="s">
        <v>3158</v>
      </c>
      <c r="F251" s="0" t="s">
        <v>2351</v>
      </c>
      <c r="G251" s="0" t="s">
        <v>22</v>
      </c>
      <c r="H251" s="0" t="s">
        <v>22</v>
      </c>
      <c r="I251" s="0" t="s">
        <v>835</v>
      </c>
    </row>
    <row customHeight="1" ht="11.25">
      <c r="A252" s="1854" t="s">
        <v>2291</v>
      </c>
      <c r="B252" s="1854" t="s">
        <v>16</v>
      </c>
      <c r="C252" s="0" t="s">
        <v>3159</v>
      </c>
      <c r="D252" s="0" t="s">
        <v>3160</v>
      </c>
      <c r="E252" s="0" t="s">
        <v>3161</v>
      </c>
      <c r="F252" s="0" t="s">
        <v>2425</v>
      </c>
      <c r="G252" s="0" t="s">
        <v>3162</v>
      </c>
      <c r="H252" s="0" t="s">
        <v>22</v>
      </c>
      <c r="I252" s="0" t="s">
        <v>835</v>
      </c>
    </row>
    <row customHeight="1" ht="11.25">
      <c r="A253" s="1854" t="s">
        <v>2291</v>
      </c>
      <c r="B253" s="1854" t="s">
        <v>16</v>
      </c>
      <c r="C253" s="0" t="s">
        <v>3163</v>
      </c>
      <c r="D253" s="0" t="s">
        <v>3164</v>
      </c>
      <c r="E253" s="0" t="s">
        <v>3165</v>
      </c>
      <c r="F253" s="0" t="s">
        <v>2750</v>
      </c>
      <c r="G253" s="0" t="s">
        <v>3166</v>
      </c>
      <c r="H253" s="0" t="s">
        <v>22</v>
      </c>
      <c r="I253" s="0" t="s">
        <v>835</v>
      </c>
    </row>
    <row customHeight="1" ht="11.25">
      <c r="A254" s="1854" t="s">
        <v>2291</v>
      </c>
      <c r="B254" s="1854" t="s">
        <v>16</v>
      </c>
      <c r="C254" s="0" t="s">
        <v>3167</v>
      </c>
      <c r="D254" s="0" t="s">
        <v>3168</v>
      </c>
      <c r="E254" s="0" t="s">
        <v>3169</v>
      </c>
      <c r="F254" s="0" t="s">
        <v>2313</v>
      </c>
      <c r="G254" s="0" t="s">
        <v>3170</v>
      </c>
      <c r="H254" s="0" t="s">
        <v>22</v>
      </c>
      <c r="I254" s="0" t="s">
        <v>835</v>
      </c>
    </row>
    <row customHeight="1" ht="11.25">
      <c r="A255" s="1854" t="s">
        <v>2291</v>
      </c>
      <c r="B255" s="1854" t="s">
        <v>16</v>
      </c>
      <c r="C255" s="0" t="s">
        <v>3171</v>
      </c>
      <c r="D255" s="0" t="s">
        <v>3172</v>
      </c>
      <c r="E255" s="0" t="s">
        <v>3173</v>
      </c>
      <c r="F255" s="0" t="s">
        <v>2640</v>
      </c>
      <c r="G255" s="0" t="s">
        <v>22</v>
      </c>
      <c r="H255" s="0" t="s">
        <v>22</v>
      </c>
      <c r="I255" s="0" t="s">
        <v>835</v>
      </c>
    </row>
    <row customHeight="1" ht="11.25">
      <c r="A256" s="1854" t="s">
        <v>2291</v>
      </c>
      <c r="B256" s="1854" t="s">
        <v>16</v>
      </c>
      <c r="C256" s="0" t="s">
        <v>3174</v>
      </c>
      <c r="D256" s="0" t="s">
        <v>3175</v>
      </c>
      <c r="E256" s="0" t="s">
        <v>3176</v>
      </c>
      <c r="F256" s="0" t="s">
        <v>2467</v>
      </c>
      <c r="G256" s="0" t="s">
        <v>3177</v>
      </c>
      <c r="H256" s="0" t="s">
        <v>22</v>
      </c>
      <c r="I256" s="0" t="s">
        <v>835</v>
      </c>
    </row>
    <row customHeight="1" ht="11.25">
      <c r="A257" s="1854" t="s">
        <v>2291</v>
      </c>
      <c r="B257" s="1854" t="s">
        <v>16</v>
      </c>
      <c r="C257" s="0" t="s">
        <v>3178</v>
      </c>
      <c r="D257" s="0" t="s">
        <v>3179</v>
      </c>
      <c r="E257" s="0" t="s">
        <v>3180</v>
      </c>
      <c r="F257" s="0" t="s">
        <v>2309</v>
      </c>
      <c r="G257" s="0" t="s">
        <v>3181</v>
      </c>
      <c r="H257" s="0" t="s">
        <v>22</v>
      </c>
      <c r="I257" s="0" t="s">
        <v>835</v>
      </c>
    </row>
    <row customHeight="1" ht="11.25">
      <c r="A258" s="1854" t="s">
        <v>2291</v>
      </c>
      <c r="B258" s="1854" t="s">
        <v>16</v>
      </c>
      <c r="C258" s="0" t="s">
        <v>3182</v>
      </c>
      <c r="D258" s="0" t="s">
        <v>3183</v>
      </c>
      <c r="E258" s="0" t="s">
        <v>3184</v>
      </c>
      <c r="F258" s="0" t="s">
        <v>2425</v>
      </c>
      <c r="G258" s="0" t="s">
        <v>3185</v>
      </c>
      <c r="H258" s="0" t="s">
        <v>22</v>
      </c>
      <c r="I258" s="0" t="s">
        <v>835</v>
      </c>
    </row>
    <row customHeight="1" ht="11.25">
      <c r="A259" s="1854" t="s">
        <v>2291</v>
      </c>
      <c r="B259" s="1854" t="s">
        <v>16</v>
      </c>
      <c r="C259" s="0" t="s">
        <v>3186</v>
      </c>
      <c r="D259" s="0" t="s">
        <v>3187</v>
      </c>
      <c r="E259" s="0" t="s">
        <v>3188</v>
      </c>
      <c r="F259" s="0" t="s">
        <v>2425</v>
      </c>
      <c r="G259" s="0" t="s">
        <v>3189</v>
      </c>
      <c r="H259" s="0" t="s">
        <v>22</v>
      </c>
      <c r="I259" s="0" t="s">
        <v>835</v>
      </c>
    </row>
    <row customHeight="1" ht="11.25">
      <c r="A260" s="1854" t="s">
        <v>2291</v>
      </c>
      <c r="B260" s="1854" t="s">
        <v>16</v>
      </c>
      <c r="C260" s="0" t="s">
        <v>3190</v>
      </c>
      <c r="D260" s="0" t="s">
        <v>3191</v>
      </c>
      <c r="E260" s="0" t="s">
        <v>3192</v>
      </c>
      <c r="F260" s="0" t="s">
        <v>2750</v>
      </c>
      <c r="G260" s="0" t="s">
        <v>3193</v>
      </c>
      <c r="H260" s="0" t="s">
        <v>22</v>
      </c>
      <c r="I260" s="0" t="s">
        <v>835</v>
      </c>
    </row>
    <row customHeight="1" ht="11.25">
      <c r="A261" s="1854" t="s">
        <v>2291</v>
      </c>
      <c r="B261" s="1854" t="s">
        <v>16</v>
      </c>
      <c r="C261" s="0" t="s">
        <v>3194</v>
      </c>
      <c r="D261" s="0" t="s">
        <v>3195</v>
      </c>
      <c r="E261" s="0" t="s">
        <v>3196</v>
      </c>
      <c r="F261" s="0" t="s">
        <v>2750</v>
      </c>
      <c r="G261" s="0" t="s">
        <v>3197</v>
      </c>
      <c r="H261" s="0" t="s">
        <v>22</v>
      </c>
      <c r="I261" s="0" t="s">
        <v>835</v>
      </c>
    </row>
    <row customHeight="1" ht="11.25">
      <c r="A262" s="1854" t="s">
        <v>2291</v>
      </c>
      <c r="B262" s="1854" t="s">
        <v>16</v>
      </c>
      <c r="C262" s="0" t="s">
        <v>3198</v>
      </c>
      <c r="D262" s="0" t="s">
        <v>3199</v>
      </c>
      <c r="E262" s="0" t="s">
        <v>3200</v>
      </c>
      <c r="F262" s="0" t="s">
        <v>2425</v>
      </c>
      <c r="G262" s="0" t="s">
        <v>22</v>
      </c>
      <c r="H262" s="0" t="s">
        <v>22</v>
      </c>
      <c r="I262" s="0" t="s">
        <v>835</v>
      </c>
    </row>
    <row customHeight="1" ht="11.25">
      <c r="A263" s="1854" t="s">
        <v>2291</v>
      </c>
      <c r="B263" s="1854" t="s">
        <v>16</v>
      </c>
      <c r="C263" s="0" t="s">
        <v>3201</v>
      </c>
      <c r="D263" s="0" t="s">
        <v>3202</v>
      </c>
      <c r="E263" s="0" t="s">
        <v>3203</v>
      </c>
      <c r="F263" s="0" t="s">
        <v>2377</v>
      </c>
      <c r="G263" s="0" t="s">
        <v>3204</v>
      </c>
      <c r="H263" s="0" t="s">
        <v>22</v>
      </c>
      <c r="I263" s="0" t="s">
        <v>835</v>
      </c>
    </row>
    <row customHeight="1" ht="11.25">
      <c r="A264" s="1854" t="s">
        <v>2291</v>
      </c>
      <c r="B264" s="1854" t="s">
        <v>16</v>
      </c>
      <c r="C264" s="0" t="s">
        <v>3205</v>
      </c>
      <c r="D264" s="0" t="s">
        <v>3206</v>
      </c>
      <c r="E264" s="0" t="s">
        <v>3207</v>
      </c>
      <c r="F264" s="0" t="s">
        <v>2322</v>
      </c>
      <c r="G264" s="0" t="s">
        <v>3208</v>
      </c>
      <c r="H264" s="0" t="s">
        <v>22</v>
      </c>
      <c r="I264" s="0" t="s">
        <v>835</v>
      </c>
    </row>
    <row customHeight="1" ht="11.25">
      <c r="A265" s="1854" t="s">
        <v>2291</v>
      </c>
      <c r="B265" s="1854" t="s">
        <v>16</v>
      </c>
      <c r="C265" s="0" t="s">
        <v>3209</v>
      </c>
      <c r="D265" s="0" t="s">
        <v>3210</v>
      </c>
      <c r="E265" s="0" t="s">
        <v>3211</v>
      </c>
      <c r="F265" s="0" t="s">
        <v>2467</v>
      </c>
      <c r="G265" s="0" t="s">
        <v>22</v>
      </c>
      <c r="H265" s="0" t="s">
        <v>3212</v>
      </c>
      <c r="I265" s="0" t="s">
        <v>835</v>
      </c>
    </row>
    <row customHeight="1" ht="11.25">
      <c r="A266" s="1854" t="s">
        <v>2291</v>
      </c>
      <c r="B266" s="1854" t="s">
        <v>16</v>
      </c>
      <c r="C266" s="0" t="s">
        <v>3213</v>
      </c>
      <c r="D266" s="0" t="s">
        <v>3214</v>
      </c>
      <c r="E266" s="0" t="s">
        <v>3215</v>
      </c>
      <c r="F266" s="0" t="s">
        <v>2640</v>
      </c>
      <c r="G266" s="0" t="s">
        <v>22</v>
      </c>
      <c r="H266" s="0" t="s">
        <v>22</v>
      </c>
      <c r="I266" s="0" t="s">
        <v>835</v>
      </c>
    </row>
    <row customHeight="1" ht="11.25">
      <c r="A267" s="1854" t="s">
        <v>2291</v>
      </c>
      <c r="B267" s="1854" t="s">
        <v>16</v>
      </c>
      <c r="C267" s="0" t="s">
        <v>3216</v>
      </c>
      <c r="D267" s="0" t="s">
        <v>3217</v>
      </c>
      <c r="E267" s="0" t="s">
        <v>3218</v>
      </c>
      <c r="F267" s="0" t="s">
        <v>2750</v>
      </c>
      <c r="G267" s="0" t="s">
        <v>3219</v>
      </c>
      <c r="H267" s="0" t="s">
        <v>22</v>
      </c>
      <c r="I267" s="0" t="s">
        <v>835</v>
      </c>
    </row>
    <row customHeight="1" ht="11.25">
      <c r="A268" s="1854" t="s">
        <v>2291</v>
      </c>
      <c r="B268" s="1854" t="s">
        <v>16</v>
      </c>
      <c r="C268" s="0" t="s">
        <v>3220</v>
      </c>
      <c r="D268" s="0" t="s">
        <v>3221</v>
      </c>
      <c r="E268" s="0" t="s">
        <v>3222</v>
      </c>
      <c r="F268" s="0" t="s">
        <v>3223</v>
      </c>
      <c r="G268" s="0" t="s">
        <v>22</v>
      </c>
      <c r="H268" s="0" t="s">
        <v>22</v>
      </c>
      <c r="I268" s="0" t="s">
        <v>835</v>
      </c>
    </row>
    <row customHeight="1" ht="11.25">
      <c r="A269" s="1854" t="s">
        <v>2291</v>
      </c>
      <c r="B269" s="1854" t="s">
        <v>16</v>
      </c>
      <c r="C269" s="0" t="s">
        <v>3224</v>
      </c>
      <c r="D269" s="0" t="s">
        <v>3225</v>
      </c>
      <c r="E269" s="0" t="s">
        <v>3226</v>
      </c>
      <c r="F269" s="0" t="s">
        <v>2640</v>
      </c>
      <c r="G269" s="0" t="s">
        <v>3227</v>
      </c>
      <c r="H269" s="0" t="s">
        <v>3228</v>
      </c>
      <c r="I269" s="0" t="s">
        <v>835</v>
      </c>
    </row>
    <row customHeight="1" ht="11.25">
      <c r="A270" s="1854" t="s">
        <v>2291</v>
      </c>
      <c r="B270" s="1854" t="s">
        <v>16</v>
      </c>
      <c r="C270" s="0" t="s">
        <v>3229</v>
      </c>
      <c r="D270" s="0" t="s">
        <v>3230</v>
      </c>
      <c r="E270" s="0" t="s">
        <v>3231</v>
      </c>
      <c r="F270" s="0" t="s">
        <v>2313</v>
      </c>
      <c r="G270" s="0" t="s">
        <v>3232</v>
      </c>
      <c r="H270" s="0" t="s">
        <v>22</v>
      </c>
      <c r="I270" s="0" t="s">
        <v>835</v>
      </c>
    </row>
    <row customHeight="1" ht="11.25">
      <c r="A271" s="1854" t="s">
        <v>2291</v>
      </c>
      <c r="B271" s="1854" t="s">
        <v>16</v>
      </c>
      <c r="C271" s="0" t="s">
        <v>3233</v>
      </c>
      <c r="D271" s="0" t="s">
        <v>3234</v>
      </c>
      <c r="E271" s="0" t="s">
        <v>3235</v>
      </c>
      <c r="F271" s="0" t="s">
        <v>2295</v>
      </c>
      <c r="G271" s="0" t="s">
        <v>3236</v>
      </c>
      <c r="H271" s="0" t="s">
        <v>22</v>
      </c>
      <c r="I271" s="0" t="s">
        <v>835</v>
      </c>
    </row>
    <row customHeight="1" ht="11.25">
      <c r="A272" s="1854" t="s">
        <v>2291</v>
      </c>
      <c r="B272" s="1854" t="s">
        <v>16</v>
      </c>
      <c r="C272" s="0" t="s">
        <v>3237</v>
      </c>
      <c r="D272" s="0" t="s">
        <v>3238</v>
      </c>
      <c r="E272" s="0" t="s">
        <v>3239</v>
      </c>
      <c r="F272" s="0" t="s">
        <v>2295</v>
      </c>
      <c r="G272" s="0" t="s">
        <v>3240</v>
      </c>
      <c r="H272" s="0" t="s">
        <v>22</v>
      </c>
      <c r="I272" s="0" t="s">
        <v>835</v>
      </c>
    </row>
    <row customHeight="1" ht="11.25">
      <c r="A273" s="1854" t="s">
        <v>2291</v>
      </c>
      <c r="B273" s="1854" t="s">
        <v>16</v>
      </c>
      <c r="C273" s="0" t="s">
        <v>3241</v>
      </c>
      <c r="D273" s="0" t="s">
        <v>3242</v>
      </c>
      <c r="E273" s="0" t="s">
        <v>3243</v>
      </c>
      <c r="F273" s="0" t="s">
        <v>2322</v>
      </c>
      <c r="G273" s="0" t="s">
        <v>22</v>
      </c>
      <c r="H273" s="0" t="s">
        <v>22</v>
      </c>
      <c r="I273" s="0" t="s">
        <v>835</v>
      </c>
    </row>
    <row customHeight="1" ht="11.25">
      <c r="A274" s="1854" t="s">
        <v>2291</v>
      </c>
      <c r="B274" s="1854" t="s">
        <v>16</v>
      </c>
      <c r="C274" s="0" t="s">
        <v>3244</v>
      </c>
      <c r="D274" s="0" t="s">
        <v>3245</v>
      </c>
      <c r="E274" s="0" t="s">
        <v>3246</v>
      </c>
      <c r="F274" s="0" t="s">
        <v>2351</v>
      </c>
      <c r="G274" s="0" t="s">
        <v>3247</v>
      </c>
      <c r="H274" s="0" t="s">
        <v>22</v>
      </c>
      <c r="I274" s="0" t="s">
        <v>835</v>
      </c>
    </row>
    <row customHeight="1" ht="11.25">
      <c r="A275" s="1854" t="s">
        <v>2291</v>
      </c>
      <c r="B275" s="1854" t="s">
        <v>16</v>
      </c>
      <c r="C275" s="0" t="s">
        <v>3248</v>
      </c>
      <c r="D275" s="0" t="s">
        <v>3249</v>
      </c>
      <c r="E275" s="0" t="s">
        <v>3250</v>
      </c>
      <c r="F275" s="0" t="s">
        <v>2295</v>
      </c>
      <c r="G275" s="0" t="s">
        <v>2314</v>
      </c>
      <c r="H275" s="0" t="s">
        <v>22</v>
      </c>
      <c r="I275" s="0" t="s">
        <v>835</v>
      </c>
    </row>
    <row customHeight="1" ht="11.25">
      <c r="A276" s="1854" t="s">
        <v>2291</v>
      </c>
      <c r="B276" s="1854" t="s">
        <v>16</v>
      </c>
      <c r="C276" s="0" t="s">
        <v>3251</v>
      </c>
      <c r="D276" s="0" t="s">
        <v>3252</v>
      </c>
      <c r="E276" s="0" t="s">
        <v>3253</v>
      </c>
      <c r="F276" s="0" t="s">
        <v>2322</v>
      </c>
      <c r="G276" s="0" t="s">
        <v>3254</v>
      </c>
      <c r="H276" s="0" t="s">
        <v>22</v>
      </c>
      <c r="I276" s="0" t="s">
        <v>835</v>
      </c>
    </row>
    <row customHeight="1" ht="11.25">
      <c r="A277" s="1854" t="s">
        <v>2291</v>
      </c>
      <c r="B277" s="1854" t="s">
        <v>16</v>
      </c>
      <c r="C277" s="0" t="s">
        <v>3255</v>
      </c>
      <c r="D277" s="0" t="s">
        <v>3256</v>
      </c>
      <c r="E277" s="0" t="s">
        <v>3257</v>
      </c>
      <c r="F277" s="0" t="s">
        <v>2322</v>
      </c>
      <c r="G277" s="0" t="s">
        <v>22</v>
      </c>
      <c r="H277" s="0" t="s">
        <v>22</v>
      </c>
      <c r="I277" s="0" t="s">
        <v>835</v>
      </c>
    </row>
    <row customHeight="1" ht="11.25">
      <c r="A278" s="1854" t="s">
        <v>2291</v>
      </c>
      <c r="B278" s="1854" t="s">
        <v>16</v>
      </c>
      <c r="C278" s="0" t="s">
        <v>3258</v>
      </c>
      <c r="D278" s="0" t="s">
        <v>3259</v>
      </c>
      <c r="E278" s="0" t="s">
        <v>3260</v>
      </c>
      <c r="F278" s="0" t="s">
        <v>2640</v>
      </c>
      <c r="G278" s="0" t="s">
        <v>3261</v>
      </c>
      <c r="H278" s="0" t="s">
        <v>22</v>
      </c>
      <c r="I278" s="0" t="s">
        <v>835</v>
      </c>
    </row>
    <row customHeight="1" ht="11.25">
      <c r="A279" s="1854" t="s">
        <v>2291</v>
      </c>
      <c r="B279" s="1854" t="s">
        <v>16</v>
      </c>
      <c r="C279" s="0" t="s">
        <v>3262</v>
      </c>
      <c r="D279" s="0" t="s">
        <v>3263</v>
      </c>
      <c r="E279" s="0" t="s">
        <v>3264</v>
      </c>
      <c r="F279" s="0" t="s">
        <v>2640</v>
      </c>
      <c r="G279" s="0" t="s">
        <v>3265</v>
      </c>
      <c r="H279" s="0" t="s">
        <v>22</v>
      </c>
      <c r="I279" s="0" t="s">
        <v>835</v>
      </c>
    </row>
    <row customHeight="1" ht="11.25">
      <c r="A280" s="1854" t="s">
        <v>2291</v>
      </c>
      <c r="B280" s="1854" t="s">
        <v>16</v>
      </c>
      <c r="C280" s="0" t="s">
        <v>3266</v>
      </c>
      <c r="D280" s="0" t="s">
        <v>3267</v>
      </c>
      <c r="E280" s="0" t="s">
        <v>3268</v>
      </c>
      <c r="F280" s="0" t="s">
        <v>2295</v>
      </c>
      <c r="G280" s="0" t="s">
        <v>3269</v>
      </c>
      <c r="H280" s="0" t="s">
        <v>22</v>
      </c>
      <c r="I280" s="0" t="s">
        <v>835</v>
      </c>
    </row>
    <row customHeight="1" ht="11.25">
      <c r="A281" s="1854" t="s">
        <v>2291</v>
      </c>
      <c r="B281" s="1854" t="s">
        <v>16</v>
      </c>
      <c r="C281" s="0" t="s">
        <v>3270</v>
      </c>
      <c r="D281" s="0" t="s">
        <v>3271</v>
      </c>
      <c r="E281" s="0" t="s">
        <v>3272</v>
      </c>
      <c r="F281" s="0" t="s">
        <v>2425</v>
      </c>
      <c r="G281" s="0" t="s">
        <v>3273</v>
      </c>
      <c r="H281" s="0" t="s">
        <v>22</v>
      </c>
      <c r="I281" s="0" t="s">
        <v>835</v>
      </c>
    </row>
    <row customHeight="1" ht="11.25">
      <c r="A282" s="1854" t="s">
        <v>2291</v>
      </c>
      <c r="B282" s="1854" t="s">
        <v>16</v>
      </c>
      <c r="C282" s="0" t="s">
        <v>3274</v>
      </c>
      <c r="D282" s="0" t="s">
        <v>3275</v>
      </c>
      <c r="E282" s="0" t="s">
        <v>3276</v>
      </c>
      <c r="F282" s="0" t="s">
        <v>3277</v>
      </c>
      <c r="G282" s="0" t="s">
        <v>22</v>
      </c>
      <c r="H282" s="0" t="s">
        <v>22</v>
      </c>
      <c r="I282" s="0" t="s">
        <v>835</v>
      </c>
    </row>
    <row customHeight="1" ht="11.25">
      <c r="A283" s="1854" t="s">
        <v>2291</v>
      </c>
      <c r="B283" s="1854" t="s">
        <v>16</v>
      </c>
      <c r="C283" s="0" t="s">
        <v>3278</v>
      </c>
      <c r="D283" s="0" t="s">
        <v>3279</v>
      </c>
      <c r="E283" s="0" t="s">
        <v>3280</v>
      </c>
      <c r="F283" s="0" t="s">
        <v>2420</v>
      </c>
      <c r="G283" s="0" t="s">
        <v>3281</v>
      </c>
      <c r="H283" s="0" t="s">
        <v>22</v>
      </c>
      <c r="I283" s="0" t="s">
        <v>835</v>
      </c>
    </row>
    <row customHeight="1" ht="11.25">
      <c r="A284" s="1854" t="s">
        <v>2291</v>
      </c>
      <c r="B284" s="1854" t="s">
        <v>16</v>
      </c>
      <c r="C284" s="0" t="s">
        <v>3282</v>
      </c>
      <c r="D284" s="0" t="s">
        <v>3283</v>
      </c>
      <c r="E284" s="0" t="s">
        <v>3284</v>
      </c>
      <c r="F284" s="0" t="s">
        <v>51</v>
      </c>
      <c r="G284" s="0" t="s">
        <v>3285</v>
      </c>
      <c r="H284" s="0" t="s">
        <v>22</v>
      </c>
      <c r="I284" s="0" t="s">
        <v>835</v>
      </c>
    </row>
    <row customHeight="1" ht="11.25">
      <c r="A285" s="1854" t="s">
        <v>2291</v>
      </c>
      <c r="B285" s="1854" t="s">
        <v>16</v>
      </c>
      <c r="C285" s="0" t="s">
        <v>3286</v>
      </c>
      <c r="D285" s="0" t="s">
        <v>3287</v>
      </c>
      <c r="E285" s="0" t="s">
        <v>3288</v>
      </c>
      <c r="F285" s="0" t="s">
        <v>2351</v>
      </c>
      <c r="G285" s="0" t="s">
        <v>22</v>
      </c>
      <c r="H285" s="0" t="s">
        <v>22</v>
      </c>
      <c r="I285" s="0" t="s">
        <v>835</v>
      </c>
    </row>
    <row customHeight="1" ht="11.25">
      <c r="A286" s="1854" t="s">
        <v>2291</v>
      </c>
      <c r="B286" s="1854" t="s">
        <v>16</v>
      </c>
      <c r="C286" s="0" t="s">
        <v>3289</v>
      </c>
      <c r="D286" s="0" t="s">
        <v>3290</v>
      </c>
      <c r="E286" s="0" t="s">
        <v>3291</v>
      </c>
      <c r="F286" s="0" t="s">
        <v>2351</v>
      </c>
      <c r="G286" s="0" t="s">
        <v>22</v>
      </c>
      <c r="H286" s="0" t="s">
        <v>22</v>
      </c>
      <c r="I286" s="0" t="s">
        <v>835</v>
      </c>
    </row>
    <row customHeight="1" ht="11.25">
      <c r="A287" s="1854" t="s">
        <v>2291</v>
      </c>
      <c r="B287" s="1854" t="s">
        <v>16</v>
      </c>
      <c r="C287" s="0" t="s">
        <v>3292</v>
      </c>
      <c r="D287" s="0" t="s">
        <v>3293</v>
      </c>
      <c r="E287" s="0" t="s">
        <v>3294</v>
      </c>
      <c r="F287" s="0" t="s">
        <v>2750</v>
      </c>
      <c r="G287" s="0" t="s">
        <v>3295</v>
      </c>
      <c r="H287" s="0" t="s">
        <v>22</v>
      </c>
      <c r="I287" s="0" t="s">
        <v>835</v>
      </c>
    </row>
    <row customHeight="1" ht="11.25">
      <c r="A288" s="1854" t="s">
        <v>2291</v>
      </c>
      <c r="B288" s="1854" t="s">
        <v>16</v>
      </c>
      <c r="C288" s="0" t="s">
        <v>3296</v>
      </c>
      <c r="D288" s="0" t="s">
        <v>3297</v>
      </c>
      <c r="E288" s="0" t="s">
        <v>3298</v>
      </c>
      <c r="F288" s="0" t="s">
        <v>2351</v>
      </c>
      <c r="G288" s="0" t="s">
        <v>22</v>
      </c>
      <c r="H288" s="0" t="s">
        <v>22</v>
      </c>
      <c r="I288" s="0" t="s">
        <v>835</v>
      </c>
    </row>
    <row customHeight="1" ht="11.25">
      <c r="A289" s="1854" t="s">
        <v>2291</v>
      </c>
      <c r="B289" s="1854" t="s">
        <v>16</v>
      </c>
      <c r="C289" s="0" t="s">
        <v>3299</v>
      </c>
      <c r="D289" s="0" t="s">
        <v>3300</v>
      </c>
      <c r="E289" s="0" t="s">
        <v>3301</v>
      </c>
      <c r="F289" s="0" t="s">
        <v>2295</v>
      </c>
      <c r="G289" s="0" t="s">
        <v>22</v>
      </c>
      <c r="H289" s="0" t="s">
        <v>22</v>
      </c>
      <c r="I289" s="0" t="s">
        <v>835</v>
      </c>
    </row>
    <row customHeight="1" ht="11.25">
      <c r="A290" s="1854" t="s">
        <v>2291</v>
      </c>
      <c r="B290" s="1854" t="s">
        <v>16</v>
      </c>
      <c r="C290" s="0" t="s">
        <v>3302</v>
      </c>
      <c r="D290" s="0" t="s">
        <v>3303</v>
      </c>
      <c r="E290" s="0" t="s">
        <v>3304</v>
      </c>
      <c r="F290" s="0" t="s">
        <v>3305</v>
      </c>
      <c r="G290" s="0" t="s">
        <v>22</v>
      </c>
      <c r="H290" s="0" t="s">
        <v>22</v>
      </c>
      <c r="I290" s="0" t="s">
        <v>835</v>
      </c>
    </row>
    <row customHeight="1" ht="11.25">
      <c r="A291" s="1854" t="s">
        <v>2291</v>
      </c>
      <c r="B291" s="1854" t="s">
        <v>16</v>
      </c>
      <c r="C291" s="0" t="s">
        <v>3306</v>
      </c>
      <c r="D291" s="0" t="s">
        <v>3307</v>
      </c>
      <c r="E291" s="0" t="s">
        <v>3308</v>
      </c>
      <c r="F291" s="0" t="s">
        <v>2467</v>
      </c>
      <c r="G291" s="0" t="s">
        <v>22</v>
      </c>
      <c r="H291" s="0" t="s">
        <v>22</v>
      </c>
      <c r="I291" s="0" t="s">
        <v>835</v>
      </c>
    </row>
    <row customHeight="1" ht="11.25">
      <c r="A292" s="1854" t="s">
        <v>2291</v>
      </c>
      <c r="B292" s="1854" t="s">
        <v>16</v>
      </c>
      <c r="C292" s="0" t="s">
        <v>3309</v>
      </c>
      <c r="D292" s="0" t="s">
        <v>3310</v>
      </c>
      <c r="E292" s="0" t="s">
        <v>3311</v>
      </c>
      <c r="F292" s="0" t="s">
        <v>2359</v>
      </c>
      <c r="G292" s="0" t="s">
        <v>22</v>
      </c>
      <c r="H292" s="0" t="s">
        <v>22</v>
      </c>
      <c r="I292" s="0" t="s">
        <v>835</v>
      </c>
    </row>
    <row customHeight="1" ht="11.25">
      <c r="A293" s="1854" t="s">
        <v>2291</v>
      </c>
      <c r="B293" s="1854" t="s">
        <v>16</v>
      </c>
      <c r="C293" s="0" t="s">
        <v>3312</v>
      </c>
      <c r="D293" s="0" t="s">
        <v>3313</v>
      </c>
      <c r="E293" s="0" t="s">
        <v>3314</v>
      </c>
      <c r="F293" s="0" t="s">
        <v>2750</v>
      </c>
      <c r="G293" s="0" t="s">
        <v>22</v>
      </c>
      <c r="H293" s="0" t="s">
        <v>22</v>
      </c>
      <c r="I293" s="0" t="s">
        <v>835</v>
      </c>
    </row>
    <row customHeight="1" ht="11.25">
      <c r="A294" s="1854" t="s">
        <v>2291</v>
      </c>
      <c r="B294" s="1854" t="s">
        <v>16</v>
      </c>
      <c r="C294" s="0" t="s">
        <v>3315</v>
      </c>
      <c r="D294" s="0" t="s">
        <v>3316</v>
      </c>
      <c r="E294" s="0" t="s">
        <v>3317</v>
      </c>
      <c r="F294" s="0" t="s">
        <v>2750</v>
      </c>
      <c r="G294" s="0" t="s">
        <v>22</v>
      </c>
      <c r="H294" s="0" t="s">
        <v>22</v>
      </c>
      <c r="I294" s="0" t="s">
        <v>835</v>
      </c>
    </row>
    <row customHeight="1" ht="11.25">
      <c r="A295" s="1854" t="s">
        <v>2291</v>
      </c>
      <c r="B295" s="1854" t="s">
        <v>16</v>
      </c>
      <c r="C295" s="0" t="s">
        <v>3318</v>
      </c>
      <c r="D295" s="0" t="s">
        <v>3319</v>
      </c>
      <c r="E295" s="0" t="s">
        <v>3320</v>
      </c>
      <c r="F295" s="0" t="s">
        <v>3321</v>
      </c>
      <c r="G295" s="0" t="s">
        <v>22</v>
      </c>
      <c r="H295" s="0" t="s">
        <v>22</v>
      </c>
      <c r="I295" s="0" t="s">
        <v>835</v>
      </c>
    </row>
    <row customHeight="1" ht="11.25">
      <c r="A296" s="1854" t="s">
        <v>2291</v>
      </c>
      <c r="B296" s="1854" t="s">
        <v>16</v>
      </c>
      <c r="C296" s="0" t="s">
        <v>3322</v>
      </c>
      <c r="D296" s="0" t="s">
        <v>3323</v>
      </c>
      <c r="E296" s="0" t="s">
        <v>3324</v>
      </c>
      <c r="F296" s="0" t="s">
        <v>2401</v>
      </c>
      <c r="G296" s="0" t="s">
        <v>22</v>
      </c>
      <c r="H296" s="0" t="s">
        <v>22</v>
      </c>
      <c r="I296" s="0" t="s">
        <v>835</v>
      </c>
    </row>
    <row customHeight="1" ht="11.25">
      <c r="A297" s="1854" t="s">
        <v>2291</v>
      </c>
      <c r="B297" s="1854" t="s">
        <v>16</v>
      </c>
      <c r="C297" s="0" t="s">
        <v>3325</v>
      </c>
      <c r="D297" s="0" t="s">
        <v>3326</v>
      </c>
      <c r="E297" s="0" t="s">
        <v>3327</v>
      </c>
      <c r="F297" s="0" t="s">
        <v>2640</v>
      </c>
      <c r="G297" s="0" t="s">
        <v>22</v>
      </c>
      <c r="H297" s="0" t="s">
        <v>22</v>
      </c>
      <c r="I297" s="0" t="s">
        <v>835</v>
      </c>
    </row>
    <row customHeight="1" ht="11.25">
      <c r="A298" s="1854" t="s">
        <v>2291</v>
      </c>
      <c r="B298" s="1854" t="s">
        <v>16</v>
      </c>
      <c r="C298" s="0" t="s">
        <v>3328</v>
      </c>
      <c r="D298" s="0" t="s">
        <v>3329</v>
      </c>
      <c r="E298" s="0" t="s">
        <v>3330</v>
      </c>
      <c r="F298" s="0" t="s">
        <v>2416</v>
      </c>
      <c r="G298" s="0" t="s">
        <v>22</v>
      </c>
      <c r="H298" s="0" t="s">
        <v>22</v>
      </c>
      <c r="I298" s="0" t="s">
        <v>835</v>
      </c>
    </row>
    <row customHeight="1" ht="11.25">
      <c r="A299" s="1854" t="s">
        <v>2291</v>
      </c>
      <c r="B299" s="1854" t="s">
        <v>16</v>
      </c>
      <c r="C299" s="0" t="s">
        <v>3331</v>
      </c>
      <c r="D299" s="0" t="s">
        <v>3332</v>
      </c>
      <c r="E299" s="0" t="s">
        <v>3333</v>
      </c>
      <c r="F299" s="0" t="s">
        <v>2359</v>
      </c>
      <c r="G299" s="0" t="s">
        <v>22</v>
      </c>
      <c r="H299" s="0" t="s">
        <v>22</v>
      </c>
      <c r="I299" s="0" t="s">
        <v>835</v>
      </c>
    </row>
    <row customHeight="1" ht="11.25">
      <c r="A300" s="1854" t="s">
        <v>2291</v>
      </c>
      <c r="B300" s="1854" t="s">
        <v>16</v>
      </c>
      <c r="C300" s="0" t="s">
        <v>3334</v>
      </c>
      <c r="D300" s="0" t="s">
        <v>3335</v>
      </c>
      <c r="E300" s="0" t="s">
        <v>3336</v>
      </c>
      <c r="F300" s="0" t="s">
        <v>51</v>
      </c>
      <c r="G300" s="0" t="s">
        <v>22</v>
      </c>
      <c r="H300" s="0" t="s">
        <v>22</v>
      </c>
      <c r="I300" s="0" t="s">
        <v>835</v>
      </c>
    </row>
    <row customHeight="1" ht="11.25">
      <c r="A301" s="1854" t="s">
        <v>2291</v>
      </c>
      <c r="B301" s="1854" t="s">
        <v>16</v>
      </c>
      <c r="C301" s="0" t="s">
        <v>3337</v>
      </c>
      <c r="D301" s="0" t="s">
        <v>3338</v>
      </c>
      <c r="E301" s="0" t="s">
        <v>3339</v>
      </c>
      <c r="F301" s="0" t="s">
        <v>2351</v>
      </c>
      <c r="G301" s="0" t="s">
        <v>22</v>
      </c>
      <c r="H301" s="0" t="s">
        <v>22</v>
      </c>
      <c r="I301" s="0" t="s">
        <v>835</v>
      </c>
    </row>
    <row customHeight="1" ht="11.25">
      <c r="A302" s="1854" t="s">
        <v>2291</v>
      </c>
      <c r="B302" s="1854" t="s">
        <v>16</v>
      </c>
      <c r="C302" s="0" t="s">
        <v>3340</v>
      </c>
      <c r="D302" s="0" t="s">
        <v>3341</v>
      </c>
      <c r="E302" s="0" t="s">
        <v>3342</v>
      </c>
      <c r="F302" s="0" t="s">
        <v>2389</v>
      </c>
      <c r="G302" s="0" t="s">
        <v>22</v>
      </c>
      <c r="H302" s="0" t="s">
        <v>22</v>
      </c>
      <c r="I302" s="0" t="s">
        <v>835</v>
      </c>
    </row>
    <row customHeight="1" ht="11.25">
      <c r="A303" s="1854" t="s">
        <v>2291</v>
      </c>
      <c r="B303" s="1854" t="s">
        <v>16</v>
      </c>
      <c r="C303" s="0" t="s">
        <v>3343</v>
      </c>
      <c r="D303" s="0" t="s">
        <v>3344</v>
      </c>
      <c r="E303" s="0" t="s">
        <v>3345</v>
      </c>
      <c r="F303" s="0" t="s">
        <v>2401</v>
      </c>
      <c r="G303" s="0" t="s">
        <v>22</v>
      </c>
      <c r="H303" s="0" t="s">
        <v>22</v>
      </c>
      <c r="I303" s="0" t="s">
        <v>835</v>
      </c>
    </row>
    <row customHeight="1" ht="11.25">
      <c r="A304" s="1854" t="s">
        <v>2291</v>
      </c>
      <c r="B304" s="1854" t="s">
        <v>16</v>
      </c>
      <c r="C304" s="0" t="s">
        <v>3346</v>
      </c>
      <c r="D304" s="0" t="s">
        <v>3347</v>
      </c>
      <c r="E304" s="0" t="s">
        <v>3348</v>
      </c>
      <c r="F304" s="0" t="s">
        <v>2640</v>
      </c>
      <c r="G304" s="0" t="s">
        <v>22</v>
      </c>
      <c r="H304" s="0" t="s">
        <v>22</v>
      </c>
      <c r="I304" s="0" t="s">
        <v>835</v>
      </c>
    </row>
    <row customHeight="1" ht="11.25">
      <c r="A305" s="1854" t="s">
        <v>2291</v>
      </c>
      <c r="B305" s="1854" t="s">
        <v>16</v>
      </c>
      <c r="C305" s="0" t="s">
        <v>3349</v>
      </c>
      <c r="D305" s="0" t="s">
        <v>3350</v>
      </c>
      <c r="E305" s="0" t="s">
        <v>3351</v>
      </c>
      <c r="F305" s="0" t="s">
        <v>2295</v>
      </c>
      <c r="G305" s="0" t="s">
        <v>22</v>
      </c>
      <c r="H305" s="0" t="s">
        <v>22</v>
      </c>
      <c r="I305" s="0" t="s">
        <v>835</v>
      </c>
    </row>
    <row customHeight="1" ht="11.25">
      <c r="A306" s="1854" t="s">
        <v>2291</v>
      </c>
      <c r="B306" s="1854" t="s">
        <v>16</v>
      </c>
      <c r="C306" s="0" t="s">
        <v>3352</v>
      </c>
      <c r="D306" s="0" t="s">
        <v>3353</v>
      </c>
      <c r="E306" s="0" t="s">
        <v>3354</v>
      </c>
      <c r="F306" s="0" t="s">
        <v>2295</v>
      </c>
      <c r="G306" s="0" t="s">
        <v>22</v>
      </c>
      <c r="H306" s="0" t="s">
        <v>22</v>
      </c>
      <c r="I306" s="0" t="s">
        <v>835</v>
      </c>
    </row>
    <row customHeight="1" ht="11.25">
      <c r="A307" s="1854" t="s">
        <v>2291</v>
      </c>
      <c r="B307" s="1854" t="s">
        <v>16</v>
      </c>
      <c r="C307" s="0" t="s">
        <v>3355</v>
      </c>
      <c r="D307" s="0" t="s">
        <v>3356</v>
      </c>
      <c r="E307" s="0" t="s">
        <v>3357</v>
      </c>
      <c r="F307" s="0" t="s">
        <v>2393</v>
      </c>
      <c r="G307" s="0" t="s">
        <v>22</v>
      </c>
      <c r="H307" s="0" t="s">
        <v>22</v>
      </c>
      <c r="I307" s="0" t="s">
        <v>835</v>
      </c>
    </row>
    <row customHeight="1" ht="11.25">
      <c r="A308" s="1854" t="s">
        <v>2291</v>
      </c>
      <c r="B308" s="1854" t="s">
        <v>16</v>
      </c>
      <c r="C308" s="0" t="s">
        <v>3358</v>
      </c>
      <c r="D308" s="0" t="s">
        <v>3359</v>
      </c>
      <c r="E308" s="0" t="s">
        <v>3360</v>
      </c>
      <c r="F308" s="0" t="s">
        <v>2295</v>
      </c>
      <c r="G308" s="0" t="s">
        <v>22</v>
      </c>
      <c r="H308" s="0" t="s">
        <v>22</v>
      </c>
      <c r="I308" s="0" t="s">
        <v>835</v>
      </c>
    </row>
    <row customHeight="1" ht="11.25">
      <c r="A309" s="1854" t="s">
        <v>2291</v>
      </c>
      <c r="B309" s="1854" t="s">
        <v>16</v>
      </c>
      <c r="C309" s="0" t="s">
        <v>3361</v>
      </c>
      <c r="D309" s="0" t="s">
        <v>3362</v>
      </c>
      <c r="E309" s="0" t="s">
        <v>3363</v>
      </c>
      <c r="F309" s="0" t="s">
        <v>2393</v>
      </c>
      <c r="G309" s="0" t="s">
        <v>22</v>
      </c>
      <c r="H309" s="0" t="s">
        <v>22</v>
      </c>
      <c r="I309" s="0" t="s">
        <v>835</v>
      </c>
    </row>
    <row customHeight="1" ht="11.25">
      <c r="A310" s="1854" t="s">
        <v>2291</v>
      </c>
      <c r="B310" s="1854" t="s">
        <v>16</v>
      </c>
      <c r="C310" s="0" t="s">
        <v>3364</v>
      </c>
      <c r="D310" s="0" t="s">
        <v>3365</v>
      </c>
      <c r="E310" s="0" t="s">
        <v>3366</v>
      </c>
      <c r="F310" s="0" t="s">
        <v>2416</v>
      </c>
      <c r="G310" s="0" t="s">
        <v>22</v>
      </c>
      <c r="H310" s="0" t="s">
        <v>22</v>
      </c>
      <c r="I310" s="0" t="s">
        <v>835</v>
      </c>
    </row>
    <row customHeight="1" ht="11.25">
      <c r="A311" s="1854" t="s">
        <v>2291</v>
      </c>
      <c r="B311" s="1854" t="s">
        <v>16</v>
      </c>
      <c r="C311" s="0" t="s">
        <v>3367</v>
      </c>
      <c r="D311" s="0" t="s">
        <v>3368</v>
      </c>
      <c r="E311" s="0" t="s">
        <v>3369</v>
      </c>
      <c r="F311" s="0" t="s">
        <v>3370</v>
      </c>
      <c r="G311" s="0" t="s">
        <v>3371</v>
      </c>
      <c r="H311" s="0" t="s">
        <v>22</v>
      </c>
      <c r="I311" s="0" t="s">
        <v>835</v>
      </c>
    </row>
    <row customHeight="1" ht="11.25">
      <c r="A312" s="1854" t="s">
        <v>2291</v>
      </c>
      <c r="B312" s="1854" t="s">
        <v>16</v>
      </c>
      <c r="C312" s="0" t="s">
        <v>3372</v>
      </c>
      <c r="D312" s="0" t="s">
        <v>3373</v>
      </c>
      <c r="E312" s="0" t="s">
        <v>3374</v>
      </c>
      <c r="F312" s="0" t="s">
        <v>2295</v>
      </c>
      <c r="G312" s="0" t="s">
        <v>22</v>
      </c>
      <c r="H312" s="0" t="s">
        <v>22</v>
      </c>
      <c r="I312" s="0" t="s">
        <v>835</v>
      </c>
    </row>
    <row customHeight="1" ht="11.25">
      <c r="A313" s="1854" t="s">
        <v>2291</v>
      </c>
      <c r="B313" s="1854" t="s">
        <v>16</v>
      </c>
      <c r="C313" s="0" t="s">
        <v>3375</v>
      </c>
      <c r="D313" s="0" t="s">
        <v>3376</v>
      </c>
      <c r="E313" s="0" t="s">
        <v>3377</v>
      </c>
      <c r="F313" s="0" t="s">
        <v>2416</v>
      </c>
      <c r="G313" s="0" t="s">
        <v>22</v>
      </c>
      <c r="H313" s="0" t="s">
        <v>22</v>
      </c>
      <c r="I313" s="0" t="s">
        <v>835</v>
      </c>
    </row>
    <row customHeight="1" ht="11.25">
      <c r="A314" s="1854" t="s">
        <v>2291</v>
      </c>
      <c r="B314" s="1854" t="s">
        <v>16</v>
      </c>
      <c r="C314" s="0" t="s">
        <v>3378</v>
      </c>
      <c r="D314" s="0" t="s">
        <v>3379</v>
      </c>
      <c r="E314" s="0" t="s">
        <v>3380</v>
      </c>
      <c r="F314" s="0" t="s">
        <v>2295</v>
      </c>
      <c r="G314" s="0" t="s">
        <v>22</v>
      </c>
      <c r="H314" s="0" t="s">
        <v>22</v>
      </c>
      <c r="I314" s="0" t="s">
        <v>835</v>
      </c>
    </row>
    <row customHeight="1" ht="11.25">
      <c r="A315" s="1854" t="s">
        <v>2291</v>
      </c>
      <c r="B315" s="1854" t="s">
        <v>16</v>
      </c>
      <c r="C315" s="0" t="s">
        <v>3381</v>
      </c>
      <c r="D315" s="0" t="s">
        <v>3382</v>
      </c>
      <c r="E315" s="0" t="s">
        <v>3383</v>
      </c>
      <c r="F315" s="0" t="s">
        <v>2401</v>
      </c>
      <c r="G315" s="0" t="s">
        <v>22</v>
      </c>
      <c r="H315" s="0" t="s">
        <v>22</v>
      </c>
      <c r="I315" s="0" t="s">
        <v>835</v>
      </c>
    </row>
    <row customHeight="1" ht="11.25">
      <c r="A316" s="1854" t="s">
        <v>2291</v>
      </c>
      <c r="B316" s="1854" t="s">
        <v>16</v>
      </c>
      <c r="C316" s="0" t="s">
        <v>3384</v>
      </c>
      <c r="D316" s="0" t="s">
        <v>3385</v>
      </c>
      <c r="E316" s="0" t="s">
        <v>3386</v>
      </c>
      <c r="F316" s="0" t="s">
        <v>3387</v>
      </c>
      <c r="G316" s="0" t="s">
        <v>22</v>
      </c>
      <c r="H316" s="0" t="s">
        <v>22</v>
      </c>
      <c r="I316" s="0" t="s">
        <v>835</v>
      </c>
    </row>
    <row customHeight="1" ht="11.25">
      <c r="A317" s="1854" t="s">
        <v>2291</v>
      </c>
      <c r="B317" s="1854" t="s">
        <v>16</v>
      </c>
      <c r="C317" s="0" t="s">
        <v>3388</v>
      </c>
      <c r="D317" s="0" t="s">
        <v>3389</v>
      </c>
      <c r="E317" s="0" t="s">
        <v>3390</v>
      </c>
      <c r="F317" s="0" t="s">
        <v>2359</v>
      </c>
      <c r="G317" s="0" t="s">
        <v>22</v>
      </c>
      <c r="H317" s="0" t="s">
        <v>22</v>
      </c>
      <c r="I317" s="0" t="s">
        <v>835</v>
      </c>
    </row>
    <row customHeight="1" ht="11.25">
      <c r="A318" s="1854" t="s">
        <v>2291</v>
      </c>
      <c r="B318" s="1854" t="s">
        <v>16</v>
      </c>
      <c r="C318" s="0" t="s">
        <v>3391</v>
      </c>
      <c r="D318" s="0" t="s">
        <v>3392</v>
      </c>
      <c r="E318" s="0" t="s">
        <v>3393</v>
      </c>
      <c r="F318" s="0" t="s">
        <v>3394</v>
      </c>
      <c r="G318" s="0" t="s">
        <v>22</v>
      </c>
      <c r="H318" s="0" t="s">
        <v>22</v>
      </c>
      <c r="I318" s="0" t="s">
        <v>835</v>
      </c>
    </row>
    <row customHeight="1" ht="11.25">
      <c r="A319" s="1854" t="s">
        <v>2291</v>
      </c>
      <c r="B319" s="1854" t="s">
        <v>16</v>
      </c>
      <c r="C319" s="0" t="s">
        <v>3395</v>
      </c>
      <c r="D319" s="0" t="s">
        <v>3396</v>
      </c>
      <c r="E319" s="0" t="s">
        <v>3397</v>
      </c>
      <c r="F319" s="0" t="s">
        <v>2359</v>
      </c>
      <c r="G319" s="0" t="s">
        <v>22</v>
      </c>
      <c r="H319" s="0" t="s">
        <v>22</v>
      </c>
      <c r="I319" s="0" t="s">
        <v>835</v>
      </c>
    </row>
    <row customHeight="1" ht="11.25">
      <c r="A320" s="1854" t="s">
        <v>2291</v>
      </c>
      <c r="B320" s="1854" t="s">
        <v>16</v>
      </c>
      <c r="C320" s="0" t="s">
        <v>3398</v>
      </c>
      <c r="D320" s="0" t="s">
        <v>3399</v>
      </c>
      <c r="E320" s="0" t="s">
        <v>3400</v>
      </c>
      <c r="F320" s="0" t="s">
        <v>2401</v>
      </c>
      <c r="G320" s="0" t="s">
        <v>22</v>
      </c>
      <c r="H320" s="0" t="s">
        <v>3401</v>
      </c>
      <c r="I320" s="0" t="s">
        <v>835</v>
      </c>
    </row>
    <row customHeight="1" ht="11.25">
      <c r="A321" s="1854" t="s">
        <v>2291</v>
      </c>
      <c r="B321" s="1854" t="s">
        <v>16</v>
      </c>
      <c r="C321" s="0" t="s">
        <v>3402</v>
      </c>
      <c r="D321" s="0" t="s">
        <v>3403</v>
      </c>
      <c r="E321" s="0" t="s">
        <v>3404</v>
      </c>
      <c r="F321" s="0" t="s">
        <v>2405</v>
      </c>
      <c r="G321" s="0" t="s">
        <v>22</v>
      </c>
      <c r="H321" s="0" t="s">
        <v>22</v>
      </c>
      <c r="I321" s="0" t="s">
        <v>835</v>
      </c>
    </row>
    <row customHeight="1" ht="11.25">
      <c r="A322" s="1854" t="s">
        <v>2291</v>
      </c>
      <c r="B322" s="1854" t="s">
        <v>16</v>
      </c>
      <c r="C322" s="0" t="s">
        <v>3405</v>
      </c>
      <c r="D322" s="0" t="s">
        <v>3406</v>
      </c>
      <c r="E322" s="0" t="s">
        <v>3407</v>
      </c>
      <c r="F322" s="0" t="s">
        <v>2393</v>
      </c>
      <c r="G322" s="0" t="s">
        <v>22</v>
      </c>
      <c r="H322" s="0" t="s">
        <v>22</v>
      </c>
      <c r="I322" s="0" t="s">
        <v>835</v>
      </c>
    </row>
    <row customHeight="1" ht="11.25">
      <c r="A323" s="1854" t="s">
        <v>2291</v>
      </c>
      <c r="B323" s="1854" t="s">
        <v>16</v>
      </c>
      <c r="C323" s="0" t="s">
        <v>3408</v>
      </c>
      <c r="D323" s="0" t="s">
        <v>3409</v>
      </c>
      <c r="E323" s="0" t="s">
        <v>3410</v>
      </c>
      <c r="F323" s="0" t="s">
        <v>2313</v>
      </c>
      <c r="G323" s="0" t="s">
        <v>22</v>
      </c>
      <c r="H323" s="0" t="s">
        <v>22</v>
      </c>
      <c r="I323" s="0" t="s">
        <v>835</v>
      </c>
    </row>
    <row customHeight="1" ht="11.25">
      <c r="A324" s="1854" t="s">
        <v>2291</v>
      </c>
      <c r="B324" s="1854" t="s">
        <v>16</v>
      </c>
      <c r="C324" s="0" t="s">
        <v>3411</v>
      </c>
      <c r="D324" s="0" t="s">
        <v>3412</v>
      </c>
      <c r="E324" s="0" t="s">
        <v>3413</v>
      </c>
      <c r="F324" s="0" t="s">
        <v>2405</v>
      </c>
      <c r="G324" s="0" t="s">
        <v>22</v>
      </c>
      <c r="H324" s="0" t="s">
        <v>22</v>
      </c>
      <c r="I324" s="0" t="s">
        <v>835</v>
      </c>
    </row>
    <row customHeight="1" ht="11.25">
      <c r="A325" s="1854" t="s">
        <v>2291</v>
      </c>
      <c r="B325" s="1854" t="s">
        <v>16</v>
      </c>
      <c r="C325" s="0" t="s">
        <v>3414</v>
      </c>
      <c r="D325" s="0" t="s">
        <v>3415</v>
      </c>
      <c r="E325" s="0" t="s">
        <v>3416</v>
      </c>
      <c r="F325" s="0" t="s">
        <v>2750</v>
      </c>
      <c r="G325" s="0" t="s">
        <v>22</v>
      </c>
      <c r="H325" s="0" t="s">
        <v>22</v>
      </c>
      <c r="I325" s="0" t="s">
        <v>835</v>
      </c>
    </row>
    <row customHeight="1" ht="11.25">
      <c r="A326" s="1854" t="s">
        <v>2291</v>
      </c>
      <c r="B326" s="1854" t="s">
        <v>16</v>
      </c>
      <c r="C326" s="0" t="s">
        <v>3417</v>
      </c>
      <c r="D326" s="0" t="s">
        <v>3418</v>
      </c>
      <c r="E326" s="0" t="s">
        <v>3419</v>
      </c>
      <c r="F326" s="0" t="s">
        <v>2401</v>
      </c>
      <c r="G326" s="0" t="s">
        <v>22</v>
      </c>
      <c r="H326" s="0" t="s">
        <v>22</v>
      </c>
      <c r="I326" s="0" t="s">
        <v>835</v>
      </c>
    </row>
    <row customHeight="1" ht="11.25">
      <c r="A327" s="1854" t="s">
        <v>2291</v>
      </c>
      <c r="B327" s="1854" t="s">
        <v>16</v>
      </c>
      <c r="C327" s="0" t="s">
        <v>3420</v>
      </c>
      <c r="D327" s="0" t="s">
        <v>3421</v>
      </c>
      <c r="E327" s="0" t="s">
        <v>3422</v>
      </c>
      <c r="F327" s="0" t="s">
        <v>2640</v>
      </c>
      <c r="G327" s="0" t="s">
        <v>22</v>
      </c>
      <c r="H327" s="0" t="s">
        <v>22</v>
      </c>
      <c r="I327" s="0" t="s">
        <v>835</v>
      </c>
    </row>
    <row customHeight="1" ht="11.25">
      <c r="A328" s="1854" t="s">
        <v>2291</v>
      </c>
      <c r="B328" s="1854" t="s">
        <v>16</v>
      </c>
      <c r="C328" s="0" t="s">
        <v>3423</v>
      </c>
      <c r="D328" s="0" t="s">
        <v>3424</v>
      </c>
      <c r="E328" s="0" t="s">
        <v>3425</v>
      </c>
      <c r="F328" s="0" t="s">
        <v>2295</v>
      </c>
      <c r="G328" s="0" t="s">
        <v>22</v>
      </c>
      <c r="H328" s="0" t="s">
        <v>22</v>
      </c>
      <c r="I328" s="0" t="s">
        <v>835</v>
      </c>
    </row>
    <row customHeight="1" ht="11.25">
      <c r="A329" s="1854" t="s">
        <v>2291</v>
      </c>
      <c r="B329" s="1854" t="s">
        <v>16</v>
      </c>
      <c r="C329" s="0" t="s">
        <v>3426</v>
      </c>
      <c r="D329" s="0" t="s">
        <v>3427</v>
      </c>
      <c r="E329" s="0" t="s">
        <v>3428</v>
      </c>
      <c r="F329" s="0" t="s">
        <v>2393</v>
      </c>
      <c r="G329" s="0" t="s">
        <v>22</v>
      </c>
      <c r="H329" s="0" t="s">
        <v>22</v>
      </c>
      <c r="I329" s="0" t="s">
        <v>835</v>
      </c>
    </row>
    <row customHeight="1" ht="11.25">
      <c r="A330" s="1854" t="s">
        <v>2291</v>
      </c>
      <c r="B330" s="1854" t="s">
        <v>16</v>
      </c>
      <c r="C330" s="0" t="s">
        <v>3429</v>
      </c>
      <c r="D330" s="0" t="s">
        <v>3430</v>
      </c>
      <c r="E330" s="0" t="s">
        <v>3431</v>
      </c>
      <c r="F330" s="0" t="s">
        <v>2313</v>
      </c>
      <c r="G330" s="0" t="s">
        <v>22</v>
      </c>
      <c r="H330" s="0" t="s">
        <v>22</v>
      </c>
      <c r="I330" s="0" t="s">
        <v>835</v>
      </c>
    </row>
    <row customHeight="1" ht="11.25">
      <c r="A331" s="1854" t="s">
        <v>2291</v>
      </c>
      <c r="B331" s="1854" t="s">
        <v>16</v>
      </c>
      <c r="C331" s="0" t="s">
        <v>3432</v>
      </c>
      <c r="D331" s="0" t="s">
        <v>3433</v>
      </c>
      <c r="E331" s="0" t="s">
        <v>3434</v>
      </c>
      <c r="F331" s="0" t="s">
        <v>2405</v>
      </c>
      <c r="G331" s="0" t="s">
        <v>22</v>
      </c>
      <c r="H331" s="0" t="s">
        <v>22</v>
      </c>
      <c r="I331" s="0" t="s">
        <v>835</v>
      </c>
    </row>
    <row customHeight="1" ht="11.25">
      <c r="A332" s="1854" t="s">
        <v>2291</v>
      </c>
      <c r="B332" s="1854" t="s">
        <v>16</v>
      </c>
      <c r="C332" s="0" t="s">
        <v>3435</v>
      </c>
      <c r="D332" s="0" t="s">
        <v>3436</v>
      </c>
      <c r="E332" s="0" t="s">
        <v>3437</v>
      </c>
      <c r="F332" s="0" t="s">
        <v>2359</v>
      </c>
      <c r="G332" s="0" t="s">
        <v>22</v>
      </c>
      <c r="H332" s="0" t="s">
        <v>22</v>
      </c>
      <c r="I332" s="0" t="s">
        <v>835</v>
      </c>
    </row>
    <row customHeight="1" ht="11.25">
      <c r="A333" s="1854" t="s">
        <v>2291</v>
      </c>
      <c r="B333" s="1854" t="s">
        <v>16</v>
      </c>
      <c r="C333" s="0" t="s">
        <v>3438</v>
      </c>
      <c r="D333" s="0" t="s">
        <v>3439</v>
      </c>
      <c r="E333" s="0" t="s">
        <v>3440</v>
      </c>
      <c r="F333" s="0" t="s">
        <v>2401</v>
      </c>
      <c r="G333" s="0" t="s">
        <v>22</v>
      </c>
      <c r="H333" s="0" t="s">
        <v>22</v>
      </c>
      <c r="I333" s="0" t="s">
        <v>835</v>
      </c>
    </row>
    <row customHeight="1" ht="11.25">
      <c r="A334" s="1854" t="s">
        <v>2291</v>
      </c>
      <c r="B334" s="1854" t="s">
        <v>16</v>
      </c>
      <c r="C334" s="0" t="s">
        <v>3441</v>
      </c>
      <c r="D334" s="0" t="s">
        <v>3442</v>
      </c>
      <c r="E334" s="0" t="s">
        <v>3443</v>
      </c>
      <c r="F334" s="0" t="s">
        <v>2359</v>
      </c>
      <c r="G334" s="0" t="s">
        <v>3444</v>
      </c>
      <c r="H334" s="0" t="s">
        <v>22</v>
      </c>
      <c r="I334" s="0" t="s">
        <v>835</v>
      </c>
    </row>
    <row customHeight="1" ht="11.25">
      <c r="A335" s="1854" t="s">
        <v>2291</v>
      </c>
      <c r="B335" s="1854" t="s">
        <v>16</v>
      </c>
      <c r="C335" s="0" t="s">
        <v>3445</v>
      </c>
      <c r="D335" s="0" t="s">
        <v>3446</v>
      </c>
      <c r="E335" s="0" t="s">
        <v>3447</v>
      </c>
      <c r="F335" s="0" t="s">
        <v>2632</v>
      </c>
      <c r="G335" s="0" t="s">
        <v>22</v>
      </c>
      <c r="H335" s="0" t="s">
        <v>22</v>
      </c>
      <c r="I335" s="0" t="s">
        <v>835</v>
      </c>
    </row>
    <row customHeight="1" ht="11.25">
      <c r="A336" s="1854" t="s">
        <v>2291</v>
      </c>
      <c r="B336" s="1854" t="s">
        <v>16</v>
      </c>
      <c r="C336" s="0" t="s">
        <v>3448</v>
      </c>
      <c r="D336" s="0" t="s">
        <v>3449</v>
      </c>
      <c r="E336" s="0" t="s">
        <v>3450</v>
      </c>
      <c r="F336" s="0" t="s">
        <v>2750</v>
      </c>
      <c r="G336" s="0" t="s">
        <v>22</v>
      </c>
      <c r="H336" s="0" t="s">
        <v>22</v>
      </c>
      <c r="I336" s="0" t="s">
        <v>835</v>
      </c>
    </row>
    <row customHeight="1" ht="11.25">
      <c r="A337" s="1854" t="s">
        <v>2291</v>
      </c>
      <c r="B337" s="1854" t="s">
        <v>16</v>
      </c>
      <c r="C337" s="0" t="s">
        <v>3451</v>
      </c>
      <c r="D337" s="0" t="s">
        <v>3452</v>
      </c>
      <c r="E337" s="0" t="s">
        <v>3453</v>
      </c>
      <c r="F337" s="0" t="s">
        <v>2295</v>
      </c>
      <c r="G337" s="0" t="s">
        <v>22</v>
      </c>
      <c r="H337" s="0" t="s">
        <v>22</v>
      </c>
      <c r="I337" s="0" t="s">
        <v>835</v>
      </c>
    </row>
    <row customHeight="1" ht="11.25">
      <c r="A338" s="1854" t="s">
        <v>2291</v>
      </c>
      <c r="B338" s="1854" t="s">
        <v>16</v>
      </c>
      <c r="C338" s="0" t="s">
        <v>3454</v>
      </c>
      <c r="D338" s="0" t="s">
        <v>3455</v>
      </c>
      <c r="E338" s="0" t="s">
        <v>3456</v>
      </c>
      <c r="F338" s="0" t="s">
        <v>2295</v>
      </c>
      <c r="G338" s="0" t="s">
        <v>22</v>
      </c>
      <c r="H338" s="0" t="s">
        <v>3457</v>
      </c>
      <c r="I338" s="0" t="s">
        <v>835</v>
      </c>
    </row>
    <row customHeight="1" ht="11.25">
      <c r="A339" s="1854" t="s">
        <v>2291</v>
      </c>
      <c r="B339" s="1854" t="s">
        <v>16</v>
      </c>
      <c r="C339" s="0" t="s">
        <v>3458</v>
      </c>
      <c r="D339" s="0" t="s">
        <v>3459</v>
      </c>
      <c r="E339" s="0" t="s">
        <v>3460</v>
      </c>
      <c r="F339" s="0" t="s">
        <v>2389</v>
      </c>
      <c r="G339" s="0" t="s">
        <v>22</v>
      </c>
      <c r="H339" s="0" t="s">
        <v>22</v>
      </c>
      <c r="I339" s="0" t="s">
        <v>835</v>
      </c>
    </row>
    <row customHeight="1" ht="11.25">
      <c r="A340" s="1854" t="s">
        <v>2291</v>
      </c>
      <c r="B340" s="1854" t="s">
        <v>16</v>
      </c>
      <c r="C340" s="0" t="s">
        <v>3461</v>
      </c>
      <c r="D340" s="0" t="s">
        <v>3462</v>
      </c>
      <c r="E340" s="0" t="s">
        <v>3463</v>
      </c>
      <c r="F340" s="0" t="s">
        <v>2327</v>
      </c>
      <c r="G340" s="0" t="s">
        <v>22</v>
      </c>
      <c r="H340" s="0" t="s">
        <v>22</v>
      </c>
      <c r="I340" s="0" t="s">
        <v>835</v>
      </c>
    </row>
    <row customHeight="1" ht="11.25">
      <c r="A341" s="1854" t="s">
        <v>2291</v>
      </c>
      <c r="B341" s="1854" t="s">
        <v>16</v>
      </c>
      <c r="C341" s="0" t="s">
        <v>3464</v>
      </c>
      <c r="D341" s="0" t="s">
        <v>3465</v>
      </c>
      <c r="E341" s="0" t="s">
        <v>3466</v>
      </c>
      <c r="F341" s="0" t="s">
        <v>2393</v>
      </c>
      <c r="G341" s="0" t="s">
        <v>22</v>
      </c>
      <c r="H341" s="0" t="s">
        <v>22</v>
      </c>
      <c r="I341" s="0" t="s">
        <v>835</v>
      </c>
    </row>
    <row customHeight="1" ht="11.25">
      <c r="A342" s="1854" t="s">
        <v>2291</v>
      </c>
      <c r="B342" s="1854" t="s">
        <v>16</v>
      </c>
      <c r="C342" s="0" t="s">
        <v>3467</v>
      </c>
      <c r="D342" s="0" t="s">
        <v>3468</v>
      </c>
      <c r="E342" s="0" t="s">
        <v>3469</v>
      </c>
      <c r="F342" s="0" t="s">
        <v>2393</v>
      </c>
      <c r="G342" s="0" t="s">
        <v>3470</v>
      </c>
      <c r="H342" s="0" t="s">
        <v>22</v>
      </c>
      <c r="I342" s="0" t="s">
        <v>835</v>
      </c>
    </row>
    <row customHeight="1" ht="11.25">
      <c r="A343" s="1854" t="s">
        <v>2291</v>
      </c>
      <c r="B343" s="1854" t="s">
        <v>16</v>
      </c>
      <c r="C343" s="0" t="s">
        <v>3471</v>
      </c>
      <c r="D343" s="0" t="s">
        <v>3472</v>
      </c>
      <c r="E343" s="0" t="s">
        <v>3473</v>
      </c>
      <c r="F343" s="0" t="s">
        <v>2632</v>
      </c>
      <c r="G343" s="0" t="s">
        <v>22</v>
      </c>
      <c r="H343" s="0" t="s">
        <v>22</v>
      </c>
      <c r="I343" s="0" t="s">
        <v>835</v>
      </c>
    </row>
    <row customHeight="1" ht="11.25">
      <c r="A344" s="1854" t="s">
        <v>2291</v>
      </c>
      <c r="B344" s="1854" t="s">
        <v>16</v>
      </c>
      <c r="C344" s="0" t="s">
        <v>3474</v>
      </c>
      <c r="D344" s="0" t="s">
        <v>3475</v>
      </c>
      <c r="E344" s="0" t="s">
        <v>3476</v>
      </c>
      <c r="F344" s="0" t="s">
        <v>2351</v>
      </c>
      <c r="G344" s="0" t="s">
        <v>22</v>
      </c>
      <c r="H344" s="0" t="s">
        <v>22</v>
      </c>
      <c r="I344" s="0" t="s">
        <v>835</v>
      </c>
    </row>
    <row customHeight="1" ht="11.25">
      <c r="A345" s="1854" t="s">
        <v>2291</v>
      </c>
      <c r="B345" s="1854" t="s">
        <v>16</v>
      </c>
      <c r="C345" s="0" t="s">
        <v>3477</v>
      </c>
      <c r="D345" s="0" t="s">
        <v>3478</v>
      </c>
      <c r="E345" s="0" t="s">
        <v>3479</v>
      </c>
      <c r="F345" s="0" t="s">
        <v>2393</v>
      </c>
      <c r="G345" s="0" t="s">
        <v>22</v>
      </c>
      <c r="H345" s="0" t="s">
        <v>22</v>
      </c>
      <c r="I345" s="0" t="s">
        <v>835</v>
      </c>
    </row>
    <row customHeight="1" ht="11.25">
      <c r="A346" s="1854" t="s">
        <v>2291</v>
      </c>
      <c r="B346" s="1854" t="s">
        <v>16</v>
      </c>
      <c r="C346" s="0" t="s">
        <v>3480</v>
      </c>
      <c r="D346" s="0" t="s">
        <v>3481</v>
      </c>
      <c r="E346" s="0" t="s">
        <v>3482</v>
      </c>
      <c r="F346" s="0" t="s">
        <v>2295</v>
      </c>
      <c r="G346" s="0" t="s">
        <v>22</v>
      </c>
      <c r="H346" s="0" t="s">
        <v>22</v>
      </c>
      <c r="I346" s="0" t="s">
        <v>835</v>
      </c>
    </row>
    <row customHeight="1" ht="11.25">
      <c r="A347" s="1854" t="s">
        <v>2291</v>
      </c>
      <c r="B347" s="1854" t="s">
        <v>16</v>
      </c>
      <c r="C347" s="0" t="s">
        <v>3483</v>
      </c>
      <c r="D347" s="0" t="s">
        <v>3484</v>
      </c>
      <c r="E347" s="0" t="s">
        <v>3485</v>
      </c>
      <c r="F347" s="0" t="s">
        <v>2405</v>
      </c>
      <c r="G347" s="0" t="s">
        <v>22</v>
      </c>
      <c r="H347" s="0" t="s">
        <v>22</v>
      </c>
      <c r="I347" s="0" t="s">
        <v>835</v>
      </c>
    </row>
    <row customHeight="1" ht="11.25">
      <c r="A348" s="1854" t="s">
        <v>2291</v>
      </c>
      <c r="B348" s="1854" t="s">
        <v>16</v>
      </c>
      <c r="C348" s="0" t="s">
        <v>3486</v>
      </c>
      <c r="D348" s="0" t="s">
        <v>3487</v>
      </c>
      <c r="E348" s="0" t="s">
        <v>3488</v>
      </c>
      <c r="F348" s="0" t="s">
        <v>2416</v>
      </c>
      <c r="G348" s="0" t="s">
        <v>22</v>
      </c>
      <c r="H348" s="0" t="s">
        <v>22</v>
      </c>
      <c r="I348" s="0" t="s">
        <v>835</v>
      </c>
    </row>
    <row customHeight="1" ht="11.25">
      <c r="A349" s="1854" t="s">
        <v>2291</v>
      </c>
      <c r="B349" s="1854" t="s">
        <v>16</v>
      </c>
      <c r="C349" s="0" t="s">
        <v>3489</v>
      </c>
      <c r="D349" s="0" t="s">
        <v>3490</v>
      </c>
      <c r="E349" s="0" t="s">
        <v>3491</v>
      </c>
      <c r="F349" s="0" t="s">
        <v>2405</v>
      </c>
      <c r="G349" s="0" t="s">
        <v>22</v>
      </c>
      <c r="H349" s="0" t="s">
        <v>22</v>
      </c>
      <c r="I349" s="0" t="s">
        <v>835</v>
      </c>
    </row>
    <row customHeight="1" ht="11.25">
      <c r="A350" s="1854" t="s">
        <v>2291</v>
      </c>
      <c r="B350" s="1854" t="s">
        <v>16</v>
      </c>
      <c r="C350" s="0" t="s">
        <v>3492</v>
      </c>
      <c r="D350" s="0" t="s">
        <v>3493</v>
      </c>
      <c r="E350" s="0" t="s">
        <v>3494</v>
      </c>
      <c r="F350" s="0" t="s">
        <v>2405</v>
      </c>
      <c r="G350" s="0" t="s">
        <v>3495</v>
      </c>
      <c r="H350" s="0" t="s">
        <v>22</v>
      </c>
      <c r="I350" s="0" t="s">
        <v>835</v>
      </c>
    </row>
    <row customHeight="1" ht="11.25">
      <c r="A351" s="1854" t="s">
        <v>2291</v>
      </c>
      <c r="B351" s="1854" t="s">
        <v>16</v>
      </c>
      <c r="C351" s="0" t="s">
        <v>3496</v>
      </c>
      <c r="D351" s="0" t="s">
        <v>3497</v>
      </c>
      <c r="E351" s="0" t="s">
        <v>3498</v>
      </c>
      <c r="F351" s="0" t="s">
        <v>2359</v>
      </c>
      <c r="G351" s="0" t="s">
        <v>22</v>
      </c>
      <c r="H351" s="0" t="s">
        <v>22</v>
      </c>
      <c r="I351" s="0" t="s">
        <v>835</v>
      </c>
    </row>
    <row customHeight="1" ht="11.25">
      <c r="A352" s="1854" t="s">
        <v>2291</v>
      </c>
      <c r="B352" s="1854" t="s">
        <v>16</v>
      </c>
      <c r="C352" s="0" t="s">
        <v>3499</v>
      </c>
      <c r="D352" s="0" t="s">
        <v>3500</v>
      </c>
      <c r="E352" s="0" t="s">
        <v>3501</v>
      </c>
      <c r="F352" s="0" t="s">
        <v>2416</v>
      </c>
      <c r="G352" s="0" t="s">
        <v>22</v>
      </c>
      <c r="H352" s="0" t="s">
        <v>22</v>
      </c>
      <c r="I352" s="0" t="s">
        <v>835</v>
      </c>
    </row>
    <row customHeight="1" ht="11.25">
      <c r="A353" s="1854" t="s">
        <v>2291</v>
      </c>
      <c r="B353" s="1854" t="s">
        <v>16</v>
      </c>
      <c r="C353" s="0" t="s">
        <v>3502</v>
      </c>
      <c r="D353" s="0" t="s">
        <v>3503</v>
      </c>
      <c r="E353" s="0" t="s">
        <v>3504</v>
      </c>
      <c r="F353" s="0" t="s">
        <v>2405</v>
      </c>
      <c r="G353" s="0" t="s">
        <v>22</v>
      </c>
      <c r="H353" s="0" t="s">
        <v>3505</v>
      </c>
      <c r="I353" s="0" t="s">
        <v>835</v>
      </c>
    </row>
    <row customHeight="1" ht="11.25">
      <c r="A354" s="1854" t="s">
        <v>2291</v>
      </c>
      <c r="B354" s="1854" t="s">
        <v>16</v>
      </c>
      <c r="C354" s="0" t="s">
        <v>3506</v>
      </c>
      <c r="D354" s="0" t="s">
        <v>3507</v>
      </c>
      <c r="E354" s="0" t="s">
        <v>3508</v>
      </c>
      <c r="F354" s="0" t="s">
        <v>2405</v>
      </c>
      <c r="G354" s="0" t="s">
        <v>22</v>
      </c>
      <c r="H354" s="0" t="s">
        <v>22</v>
      </c>
      <c r="I354" s="0" t="s">
        <v>835</v>
      </c>
    </row>
    <row customHeight="1" ht="11.25">
      <c r="A355" s="1854" t="s">
        <v>2291</v>
      </c>
      <c r="B355" s="1854" t="s">
        <v>16</v>
      </c>
      <c r="C355" s="0" t="s">
        <v>3509</v>
      </c>
      <c r="D355" s="0" t="s">
        <v>3510</v>
      </c>
      <c r="E355" s="0" t="s">
        <v>3511</v>
      </c>
      <c r="F355" s="0" t="s">
        <v>3512</v>
      </c>
      <c r="G355" s="0" t="s">
        <v>22</v>
      </c>
      <c r="H355" s="0" t="s">
        <v>22</v>
      </c>
      <c r="I355" s="0" t="s">
        <v>835</v>
      </c>
    </row>
    <row customHeight="1" ht="11.25">
      <c r="A356" s="1854" t="s">
        <v>2291</v>
      </c>
      <c r="B356" s="1854" t="s">
        <v>16</v>
      </c>
      <c r="C356" s="0" t="s">
        <v>3513</v>
      </c>
      <c r="D356" s="0" t="s">
        <v>3514</v>
      </c>
      <c r="E356" s="0" t="s">
        <v>3515</v>
      </c>
      <c r="F356" s="0" t="s">
        <v>3516</v>
      </c>
      <c r="G356" s="0" t="s">
        <v>22</v>
      </c>
      <c r="H356" s="0" t="s">
        <v>22</v>
      </c>
      <c r="I356" s="0" t="s">
        <v>835</v>
      </c>
    </row>
    <row customHeight="1" ht="11.25">
      <c r="A357" s="1854" t="s">
        <v>2291</v>
      </c>
      <c r="B357" s="1854" t="s">
        <v>16</v>
      </c>
      <c r="C357" s="0" t="s">
        <v>3517</v>
      </c>
      <c r="D357" s="0" t="s">
        <v>3518</v>
      </c>
      <c r="E357" s="0" t="s">
        <v>3519</v>
      </c>
      <c r="F357" s="0" t="s">
        <v>2750</v>
      </c>
      <c r="G357" s="0" t="s">
        <v>22</v>
      </c>
      <c r="H357" s="0" t="s">
        <v>22</v>
      </c>
      <c r="I357" s="0" t="s">
        <v>835</v>
      </c>
    </row>
    <row customHeight="1" ht="11.25">
      <c r="A358" s="1854" t="s">
        <v>2291</v>
      </c>
      <c r="B358" s="1854" t="s">
        <v>16</v>
      </c>
      <c r="C358" s="0" t="s">
        <v>3520</v>
      </c>
      <c r="D358" s="0" t="s">
        <v>3521</v>
      </c>
      <c r="E358" s="0" t="s">
        <v>3522</v>
      </c>
      <c r="F358" s="0" t="s">
        <v>3523</v>
      </c>
      <c r="G358" s="0" t="s">
        <v>22</v>
      </c>
      <c r="H358" s="0" t="s">
        <v>22</v>
      </c>
      <c r="I358" s="0" t="s">
        <v>835</v>
      </c>
    </row>
    <row customHeight="1" ht="11.25">
      <c r="A359" s="1854" t="s">
        <v>2291</v>
      </c>
      <c r="B359" s="1854" t="s">
        <v>16</v>
      </c>
      <c r="C359" s="0" t="s">
        <v>3524</v>
      </c>
      <c r="D359" s="0" t="s">
        <v>3525</v>
      </c>
      <c r="E359" s="0" t="s">
        <v>3526</v>
      </c>
      <c r="F359" s="0" t="s">
        <v>2467</v>
      </c>
      <c r="G359" s="0" t="s">
        <v>22</v>
      </c>
      <c r="H359" s="0" t="s">
        <v>22</v>
      </c>
      <c r="I359" s="0" t="s">
        <v>835</v>
      </c>
    </row>
    <row customHeight="1" ht="11.25">
      <c r="A360" s="1854" t="s">
        <v>2291</v>
      </c>
      <c r="B360" s="1854" t="s">
        <v>16</v>
      </c>
      <c r="C360" s="0" t="s">
        <v>3527</v>
      </c>
      <c r="D360" s="0" t="s">
        <v>3528</v>
      </c>
      <c r="E360" s="0" t="s">
        <v>3529</v>
      </c>
      <c r="F360" s="0" t="s">
        <v>2295</v>
      </c>
      <c r="G360" s="0" t="s">
        <v>22</v>
      </c>
      <c r="H360" s="0" t="s">
        <v>22</v>
      </c>
      <c r="I360" s="0" t="s">
        <v>835</v>
      </c>
    </row>
    <row customHeight="1" ht="11.25">
      <c r="A361" s="1854" t="s">
        <v>2291</v>
      </c>
      <c r="B361" s="1854" t="s">
        <v>16</v>
      </c>
      <c r="C361" s="0" t="s">
        <v>3530</v>
      </c>
      <c r="D361" s="0" t="s">
        <v>3531</v>
      </c>
      <c r="E361" s="0" t="s">
        <v>3532</v>
      </c>
      <c r="F361" s="0" t="s">
        <v>2405</v>
      </c>
      <c r="G361" s="0" t="s">
        <v>22</v>
      </c>
      <c r="H361" s="0" t="s">
        <v>22</v>
      </c>
      <c r="I361" s="0" t="s">
        <v>835</v>
      </c>
    </row>
    <row customHeight="1" ht="11.25">
      <c r="A362" s="1854" t="s">
        <v>2291</v>
      </c>
      <c r="B362" s="1854" t="s">
        <v>16</v>
      </c>
      <c r="C362" s="0" t="s">
        <v>3533</v>
      </c>
      <c r="D362" s="0" t="s">
        <v>3534</v>
      </c>
      <c r="E362" s="0" t="s">
        <v>3535</v>
      </c>
      <c r="F362" s="0" t="s">
        <v>2295</v>
      </c>
      <c r="G362" s="0" t="s">
        <v>22</v>
      </c>
      <c r="H362" s="0" t="s">
        <v>22</v>
      </c>
      <c r="I362" s="0" t="s">
        <v>835</v>
      </c>
    </row>
    <row customHeight="1" ht="11.25">
      <c r="A363" s="1854" t="s">
        <v>2291</v>
      </c>
      <c r="B363" s="1854" t="s">
        <v>16</v>
      </c>
      <c r="C363" s="0" t="s">
        <v>3536</v>
      </c>
      <c r="D363" s="0" t="s">
        <v>3537</v>
      </c>
      <c r="E363" s="0" t="s">
        <v>3538</v>
      </c>
      <c r="F363" s="0" t="s">
        <v>2389</v>
      </c>
      <c r="G363" s="0" t="s">
        <v>22</v>
      </c>
      <c r="H363" s="0" t="s">
        <v>22</v>
      </c>
      <c r="I363" s="0" t="s">
        <v>835</v>
      </c>
    </row>
    <row customHeight="1" ht="11.25">
      <c r="A364" s="1854" t="s">
        <v>2291</v>
      </c>
      <c r="B364" s="1854" t="s">
        <v>16</v>
      </c>
      <c r="C364" s="0" t="s">
        <v>3539</v>
      </c>
      <c r="D364" s="0" t="s">
        <v>3540</v>
      </c>
      <c r="E364" s="0" t="s">
        <v>3541</v>
      </c>
      <c r="F364" s="0" t="s">
        <v>2313</v>
      </c>
      <c r="G364" s="0" t="s">
        <v>22</v>
      </c>
      <c r="H364" s="0" t="s">
        <v>22</v>
      </c>
      <c r="I364" s="0" t="s">
        <v>835</v>
      </c>
    </row>
    <row customHeight="1" ht="11.25">
      <c r="A365" s="1854" t="s">
        <v>2291</v>
      </c>
      <c r="B365" s="1854" t="s">
        <v>16</v>
      </c>
      <c r="C365" s="0" t="s">
        <v>3542</v>
      </c>
      <c r="D365" s="0" t="s">
        <v>3543</v>
      </c>
      <c r="E365" s="0" t="s">
        <v>3544</v>
      </c>
      <c r="F365" s="0" t="s">
        <v>2393</v>
      </c>
      <c r="G365" s="0" t="s">
        <v>22</v>
      </c>
      <c r="H365" s="0" t="s">
        <v>22</v>
      </c>
      <c r="I365" s="0" t="s">
        <v>835</v>
      </c>
    </row>
    <row customHeight="1" ht="11.25">
      <c r="A366" s="1854" t="s">
        <v>2291</v>
      </c>
      <c r="B366" s="1854" t="s">
        <v>16</v>
      </c>
      <c r="C366" s="0" t="s">
        <v>3545</v>
      </c>
      <c r="D366" s="0" t="s">
        <v>3546</v>
      </c>
      <c r="E366" s="0" t="s">
        <v>3377</v>
      </c>
      <c r="F366" s="0" t="s">
        <v>2401</v>
      </c>
      <c r="G366" s="0" t="s">
        <v>22</v>
      </c>
      <c r="H366" s="0" t="s">
        <v>22</v>
      </c>
      <c r="I366" s="0" t="s">
        <v>835</v>
      </c>
    </row>
    <row customHeight="1" ht="11.25">
      <c r="A367" s="1854" t="s">
        <v>2291</v>
      </c>
      <c r="B367" s="1854" t="s">
        <v>16</v>
      </c>
      <c r="C367" s="0" t="s">
        <v>3547</v>
      </c>
      <c r="D367" s="0" t="s">
        <v>3548</v>
      </c>
      <c r="E367" s="0" t="s">
        <v>3549</v>
      </c>
      <c r="F367" s="0" t="s">
        <v>2295</v>
      </c>
      <c r="G367" s="0" t="s">
        <v>22</v>
      </c>
      <c r="H367" s="0" t="s">
        <v>22</v>
      </c>
      <c r="I367" s="0" t="s">
        <v>835</v>
      </c>
    </row>
    <row customHeight="1" ht="11.25">
      <c r="A368" s="1854" t="s">
        <v>2291</v>
      </c>
      <c r="B368" s="1854" t="s">
        <v>16</v>
      </c>
      <c r="C368" s="0" t="s">
        <v>3550</v>
      </c>
      <c r="D368" s="0" t="s">
        <v>3551</v>
      </c>
      <c r="E368" s="0" t="s">
        <v>3552</v>
      </c>
      <c r="F368" s="0" t="s">
        <v>2405</v>
      </c>
      <c r="G368" s="0" t="s">
        <v>22</v>
      </c>
      <c r="H368" s="0" t="s">
        <v>22</v>
      </c>
      <c r="I368" s="0" t="s">
        <v>835</v>
      </c>
    </row>
    <row customHeight="1" ht="11.25">
      <c r="A369" s="1854" t="s">
        <v>2291</v>
      </c>
      <c r="B369" s="1854" t="s">
        <v>16</v>
      </c>
      <c r="C369" s="0" t="s">
        <v>3553</v>
      </c>
      <c r="D369" s="0" t="s">
        <v>3554</v>
      </c>
      <c r="E369" s="0" t="s">
        <v>3555</v>
      </c>
      <c r="F369" s="0" t="s">
        <v>2393</v>
      </c>
      <c r="G369" s="0" t="s">
        <v>22</v>
      </c>
      <c r="H369" s="0" t="s">
        <v>22</v>
      </c>
      <c r="I369" s="0" t="s">
        <v>835</v>
      </c>
    </row>
    <row customHeight="1" ht="11.25">
      <c r="A370" s="1854" t="s">
        <v>2291</v>
      </c>
      <c r="B370" s="1854" t="s">
        <v>16</v>
      </c>
      <c r="C370" s="0" t="s">
        <v>3556</v>
      </c>
      <c r="D370" s="0" t="s">
        <v>3557</v>
      </c>
      <c r="E370" s="0" t="s">
        <v>3558</v>
      </c>
      <c r="F370" s="0" t="s">
        <v>2377</v>
      </c>
      <c r="G370" s="0" t="s">
        <v>22</v>
      </c>
      <c r="H370" s="0" t="s">
        <v>22</v>
      </c>
      <c r="I370" s="0" t="s">
        <v>835</v>
      </c>
    </row>
    <row customHeight="1" ht="11.25">
      <c r="A371" s="1854" t="s">
        <v>2291</v>
      </c>
      <c r="B371" s="1854" t="s">
        <v>16</v>
      </c>
      <c r="C371" s="0" t="s">
        <v>3559</v>
      </c>
      <c r="D371" s="0" t="s">
        <v>3560</v>
      </c>
      <c r="E371" s="0" t="s">
        <v>3561</v>
      </c>
      <c r="F371" s="0" t="s">
        <v>2359</v>
      </c>
      <c r="G371" s="0" t="s">
        <v>22</v>
      </c>
      <c r="H371" s="0" t="s">
        <v>22</v>
      </c>
      <c r="I371" s="0" t="s">
        <v>835</v>
      </c>
    </row>
    <row customHeight="1" ht="11.25">
      <c r="A372" s="1854" t="s">
        <v>2291</v>
      </c>
      <c r="B372" s="1854" t="s">
        <v>16</v>
      </c>
      <c r="C372" s="0" t="s">
        <v>3562</v>
      </c>
      <c r="D372" s="0" t="s">
        <v>3563</v>
      </c>
      <c r="E372" s="0" t="s">
        <v>3564</v>
      </c>
      <c r="F372" s="0" t="s">
        <v>2405</v>
      </c>
      <c r="G372" s="0" t="s">
        <v>22</v>
      </c>
      <c r="H372" s="0" t="s">
        <v>22</v>
      </c>
      <c r="I372" s="0" t="s">
        <v>835</v>
      </c>
    </row>
    <row customHeight="1" ht="11.25">
      <c r="A373" s="1854" t="s">
        <v>2291</v>
      </c>
      <c r="B373" s="1854" t="s">
        <v>16</v>
      </c>
      <c r="C373" s="0" t="s">
        <v>3565</v>
      </c>
      <c r="D373" s="0" t="s">
        <v>3566</v>
      </c>
      <c r="E373" s="0" t="s">
        <v>3567</v>
      </c>
      <c r="F373" s="0" t="s">
        <v>2401</v>
      </c>
      <c r="G373" s="0" t="s">
        <v>22</v>
      </c>
      <c r="H373" s="0" t="s">
        <v>22</v>
      </c>
      <c r="I373" s="0" t="s">
        <v>835</v>
      </c>
    </row>
    <row customHeight="1" ht="11.25">
      <c r="A374" s="1854" t="s">
        <v>2291</v>
      </c>
      <c r="B374" s="1854" t="s">
        <v>16</v>
      </c>
      <c r="C374" s="0" t="s">
        <v>3568</v>
      </c>
      <c r="D374" s="0" t="s">
        <v>3569</v>
      </c>
      <c r="E374" s="0" t="s">
        <v>3570</v>
      </c>
      <c r="F374" s="0" t="s">
        <v>2401</v>
      </c>
      <c r="G374" s="0" t="s">
        <v>22</v>
      </c>
      <c r="H374" s="0" t="s">
        <v>22</v>
      </c>
      <c r="I374" s="0" t="s">
        <v>835</v>
      </c>
    </row>
    <row customHeight="1" ht="11.25">
      <c r="A375" s="1854" t="s">
        <v>2291</v>
      </c>
      <c r="B375" s="1854" t="s">
        <v>16</v>
      </c>
      <c r="C375" s="0" t="s">
        <v>3571</v>
      </c>
      <c r="D375" s="0" t="s">
        <v>3572</v>
      </c>
      <c r="E375" s="0" t="s">
        <v>3573</v>
      </c>
      <c r="F375" s="0" t="s">
        <v>2416</v>
      </c>
      <c r="G375" s="0" t="s">
        <v>22</v>
      </c>
      <c r="H375" s="0" t="s">
        <v>22</v>
      </c>
      <c r="I375" s="0" t="s">
        <v>835</v>
      </c>
    </row>
    <row customHeight="1" ht="11.25">
      <c r="A376" s="1854" t="s">
        <v>2291</v>
      </c>
      <c r="B376" s="1854" t="s">
        <v>16</v>
      </c>
      <c r="C376" s="0" t="s">
        <v>3574</v>
      </c>
      <c r="D376" s="0" t="s">
        <v>3575</v>
      </c>
      <c r="E376" s="0" t="s">
        <v>3576</v>
      </c>
      <c r="F376" s="0" t="s">
        <v>2295</v>
      </c>
      <c r="G376" s="0" t="s">
        <v>22</v>
      </c>
      <c r="H376" s="0" t="s">
        <v>22</v>
      </c>
      <c r="I376" s="0" t="s">
        <v>835</v>
      </c>
    </row>
    <row customHeight="1" ht="11.25">
      <c r="A377" s="1854" t="s">
        <v>2291</v>
      </c>
      <c r="B377" s="1854" t="s">
        <v>16</v>
      </c>
      <c r="C377" s="0" t="s">
        <v>3577</v>
      </c>
      <c r="D377" s="0" t="s">
        <v>3578</v>
      </c>
      <c r="E377" s="0" t="s">
        <v>3579</v>
      </c>
      <c r="F377" s="0" t="s">
        <v>2359</v>
      </c>
      <c r="G377" s="0" t="s">
        <v>22</v>
      </c>
      <c r="H377" s="0" t="s">
        <v>22</v>
      </c>
      <c r="I377" s="0" t="s">
        <v>835</v>
      </c>
    </row>
    <row customHeight="1" ht="11.25">
      <c r="A378" s="1854" t="s">
        <v>2291</v>
      </c>
      <c r="B378" s="1854" t="s">
        <v>16</v>
      </c>
      <c r="C378" s="0" t="s">
        <v>3580</v>
      </c>
      <c r="D378" s="0" t="s">
        <v>3581</v>
      </c>
      <c r="E378" s="0" t="s">
        <v>3582</v>
      </c>
      <c r="F378" s="0" t="s">
        <v>2295</v>
      </c>
      <c r="G378" s="0" t="s">
        <v>22</v>
      </c>
      <c r="H378" s="0" t="s">
        <v>22</v>
      </c>
      <c r="I378" s="0" t="s">
        <v>835</v>
      </c>
    </row>
    <row customHeight="1" ht="11.25">
      <c r="A379" s="1854" t="s">
        <v>2291</v>
      </c>
      <c r="B379" s="1854" t="s">
        <v>16</v>
      </c>
      <c r="C379" s="0" t="s">
        <v>3583</v>
      </c>
      <c r="D379" s="0" t="s">
        <v>3584</v>
      </c>
      <c r="E379" s="0" t="s">
        <v>3585</v>
      </c>
      <c r="F379" s="0" t="s">
        <v>2359</v>
      </c>
      <c r="G379" s="0" t="s">
        <v>22</v>
      </c>
      <c r="H379" s="0" t="s">
        <v>22</v>
      </c>
      <c r="I379" s="0" t="s">
        <v>835</v>
      </c>
    </row>
    <row customHeight="1" ht="11.25">
      <c r="A380" s="1854" t="s">
        <v>2291</v>
      </c>
      <c r="B380" s="1854" t="s">
        <v>16</v>
      </c>
      <c r="C380" s="0" t="s">
        <v>3586</v>
      </c>
      <c r="D380" s="0" t="s">
        <v>3587</v>
      </c>
      <c r="E380" s="0" t="s">
        <v>3588</v>
      </c>
      <c r="F380" s="0" t="s">
        <v>51</v>
      </c>
      <c r="G380" s="0" t="s">
        <v>22</v>
      </c>
      <c r="H380" s="0" t="s">
        <v>22</v>
      </c>
      <c r="I380" s="0" t="s">
        <v>835</v>
      </c>
    </row>
    <row customHeight="1" ht="11.25">
      <c r="A381" s="1854" t="s">
        <v>2291</v>
      </c>
      <c r="B381" s="1854" t="s">
        <v>16</v>
      </c>
      <c r="C381" s="0" t="s">
        <v>3589</v>
      </c>
      <c r="D381" s="0" t="s">
        <v>3590</v>
      </c>
      <c r="E381" s="0" t="s">
        <v>3591</v>
      </c>
      <c r="F381" s="0" t="s">
        <v>2416</v>
      </c>
      <c r="G381" s="0" t="s">
        <v>22</v>
      </c>
      <c r="H381" s="0" t="s">
        <v>22</v>
      </c>
      <c r="I381" s="0" t="s">
        <v>835</v>
      </c>
    </row>
    <row customHeight="1" ht="11.25">
      <c r="A382" s="1854" t="s">
        <v>2291</v>
      </c>
      <c r="B382" s="1854" t="s">
        <v>16</v>
      </c>
      <c r="C382" s="0" t="s">
        <v>3592</v>
      </c>
      <c r="D382" s="0" t="s">
        <v>3593</v>
      </c>
      <c r="E382" s="0" t="s">
        <v>2303</v>
      </c>
      <c r="F382" s="0" t="s">
        <v>2526</v>
      </c>
      <c r="G382" s="0" t="s">
        <v>22</v>
      </c>
      <c r="H382" s="0" t="s">
        <v>22</v>
      </c>
      <c r="I382" s="0" t="s">
        <v>835</v>
      </c>
    </row>
    <row customHeight="1" ht="11.25">
      <c r="A383" s="1854" t="s">
        <v>2291</v>
      </c>
      <c r="B383" s="1854" t="s">
        <v>16</v>
      </c>
      <c r="C383" s="0" t="s">
        <v>3594</v>
      </c>
      <c r="D383" s="0" t="s">
        <v>3595</v>
      </c>
      <c r="E383" s="0" t="s">
        <v>2365</v>
      </c>
      <c r="F383" s="0" t="s">
        <v>3596</v>
      </c>
      <c r="G383" s="0" t="s">
        <v>2370</v>
      </c>
      <c r="H383" s="0" t="s">
        <v>22</v>
      </c>
      <c r="I383" s="0" t="s">
        <v>835</v>
      </c>
    </row>
    <row customHeight="1" ht="11.25">
      <c r="A384" s="1854" t="s">
        <v>2291</v>
      </c>
      <c r="B384" s="1854" t="s">
        <v>16</v>
      </c>
      <c r="C384" s="0" t="s">
        <v>3597</v>
      </c>
      <c r="D384" s="0" t="s">
        <v>3598</v>
      </c>
      <c r="E384" s="0" t="s">
        <v>3599</v>
      </c>
      <c r="F384" s="0" t="s">
        <v>2416</v>
      </c>
      <c r="G384" s="0" t="s">
        <v>22</v>
      </c>
      <c r="H384" s="0" t="s">
        <v>22</v>
      </c>
      <c r="I384" s="0" t="s">
        <v>835</v>
      </c>
    </row>
    <row customHeight="1" ht="11.25">
      <c r="A385" s="1854" t="s">
        <v>2291</v>
      </c>
      <c r="B385" s="1854" t="s">
        <v>16</v>
      </c>
      <c r="C385" s="0" t="s">
        <v>3600</v>
      </c>
      <c r="D385" s="0" t="s">
        <v>3601</v>
      </c>
      <c r="E385" s="0" t="s">
        <v>3602</v>
      </c>
      <c r="F385" s="0" t="s">
        <v>2359</v>
      </c>
      <c r="G385" s="0" t="s">
        <v>22</v>
      </c>
      <c r="H385" s="0" t="s">
        <v>22</v>
      </c>
      <c r="I385" s="0" t="s">
        <v>835</v>
      </c>
    </row>
    <row customHeight="1" ht="11.25">
      <c r="A386" s="1854" t="s">
        <v>2291</v>
      </c>
      <c r="B386" s="1854" t="s">
        <v>16</v>
      </c>
      <c r="C386" s="0" t="s">
        <v>3603</v>
      </c>
      <c r="D386" s="0" t="s">
        <v>3604</v>
      </c>
      <c r="E386" s="0" t="s">
        <v>3605</v>
      </c>
      <c r="F386" s="0" t="s">
        <v>2295</v>
      </c>
      <c r="G386" s="0" t="s">
        <v>22</v>
      </c>
      <c r="H386" s="0" t="s">
        <v>22</v>
      </c>
      <c r="I386" s="0" t="s">
        <v>835</v>
      </c>
    </row>
    <row customHeight="1" ht="11.25">
      <c r="A387" s="1854" t="s">
        <v>2291</v>
      </c>
      <c r="B387" s="1854" t="s">
        <v>16</v>
      </c>
      <c r="C387" s="0" t="s">
        <v>3606</v>
      </c>
      <c r="D387" s="0" t="s">
        <v>3607</v>
      </c>
      <c r="E387" s="0" t="s">
        <v>3608</v>
      </c>
      <c r="F387" s="0" t="s">
        <v>2393</v>
      </c>
      <c r="G387" s="0" t="s">
        <v>22</v>
      </c>
      <c r="H387" s="0" t="s">
        <v>3609</v>
      </c>
      <c r="I387" s="0" t="s">
        <v>835</v>
      </c>
    </row>
    <row customHeight="1" ht="11.25">
      <c r="A388" s="1854" t="s">
        <v>2291</v>
      </c>
      <c r="B388" s="1854" t="s">
        <v>16</v>
      </c>
      <c r="C388" s="0" t="s">
        <v>3610</v>
      </c>
      <c r="D388" s="0" t="s">
        <v>3611</v>
      </c>
      <c r="E388" s="0" t="s">
        <v>3612</v>
      </c>
      <c r="F388" s="0" t="s">
        <v>2389</v>
      </c>
      <c r="G388" s="0" t="s">
        <v>22</v>
      </c>
      <c r="H388" s="0" t="s">
        <v>22</v>
      </c>
      <c r="I388" s="0" t="s">
        <v>835</v>
      </c>
    </row>
    <row customHeight="1" ht="11.25">
      <c r="A389" s="1854" t="s">
        <v>2291</v>
      </c>
      <c r="B389" s="1854" t="s">
        <v>16</v>
      </c>
      <c r="C389" s="0" t="s">
        <v>3613</v>
      </c>
      <c r="D389" s="0" t="s">
        <v>3614</v>
      </c>
      <c r="E389" s="0" t="s">
        <v>3615</v>
      </c>
      <c r="F389" s="0" t="s">
        <v>2640</v>
      </c>
      <c r="G389" s="0" t="s">
        <v>22</v>
      </c>
      <c r="H389" s="0" t="s">
        <v>22</v>
      </c>
      <c r="I389" s="0" t="s">
        <v>835</v>
      </c>
    </row>
    <row customHeight="1" ht="11.25">
      <c r="A390" s="1854" t="s">
        <v>2291</v>
      </c>
      <c r="B390" s="1854" t="s">
        <v>16</v>
      </c>
      <c r="C390" s="0" t="s">
        <v>3616</v>
      </c>
      <c r="D390" s="0" t="s">
        <v>3617</v>
      </c>
      <c r="E390" s="0" t="s">
        <v>3618</v>
      </c>
      <c r="F390" s="0" t="s">
        <v>2405</v>
      </c>
      <c r="G390" s="0" t="s">
        <v>3619</v>
      </c>
      <c r="H390" s="0" t="s">
        <v>22</v>
      </c>
      <c r="I390" s="0" t="s">
        <v>835</v>
      </c>
    </row>
    <row customHeight="1" ht="11.25">
      <c r="A391" s="1854" t="s">
        <v>2291</v>
      </c>
      <c r="B391" s="1854" t="s">
        <v>16</v>
      </c>
      <c r="C391" s="0" t="s">
        <v>3620</v>
      </c>
      <c r="D391" s="0" t="s">
        <v>3621</v>
      </c>
      <c r="E391" s="0" t="s">
        <v>3622</v>
      </c>
      <c r="F391" s="0" t="s">
        <v>2401</v>
      </c>
      <c r="G391" s="0" t="s">
        <v>22</v>
      </c>
      <c r="H391" s="0" t="s">
        <v>22</v>
      </c>
      <c r="I391" s="0" t="s">
        <v>835</v>
      </c>
    </row>
    <row customHeight="1" ht="11.25">
      <c r="A392" s="1854" t="s">
        <v>2291</v>
      </c>
      <c r="B392" s="1854" t="s">
        <v>16</v>
      </c>
      <c r="C392" s="0" t="s">
        <v>3623</v>
      </c>
      <c r="D392" s="0" t="s">
        <v>3624</v>
      </c>
      <c r="E392" s="0" t="s">
        <v>3625</v>
      </c>
      <c r="F392" s="0" t="s">
        <v>2359</v>
      </c>
      <c r="G392" s="0" t="s">
        <v>3626</v>
      </c>
      <c r="H392" s="0" t="s">
        <v>22</v>
      </c>
      <c r="I392" s="0" t="s">
        <v>835</v>
      </c>
    </row>
    <row customHeight="1" ht="11.25">
      <c r="A393" s="1854" t="s">
        <v>2291</v>
      </c>
      <c r="B393" s="1854" t="s">
        <v>16</v>
      </c>
      <c r="C393" s="0" t="s">
        <v>3627</v>
      </c>
      <c r="D393" s="0" t="s">
        <v>3628</v>
      </c>
      <c r="E393" s="0" t="s">
        <v>3629</v>
      </c>
      <c r="F393" s="0" t="s">
        <v>2359</v>
      </c>
      <c r="G393" s="0" t="s">
        <v>22</v>
      </c>
      <c r="H393" s="0" t="s">
        <v>22</v>
      </c>
      <c r="I393" s="0" t="s">
        <v>835</v>
      </c>
    </row>
    <row customHeight="1" ht="11.25">
      <c r="A394" s="1854" t="s">
        <v>2291</v>
      </c>
      <c r="B394" s="1854" t="s">
        <v>16</v>
      </c>
      <c r="C394" s="0" t="s">
        <v>3630</v>
      </c>
      <c r="D394" s="0" t="s">
        <v>3631</v>
      </c>
      <c r="E394" s="0" t="s">
        <v>3632</v>
      </c>
      <c r="F394" s="0" t="s">
        <v>2389</v>
      </c>
      <c r="G394" s="0" t="s">
        <v>22</v>
      </c>
      <c r="H394" s="0" t="s">
        <v>22</v>
      </c>
      <c r="I394" s="0" t="s">
        <v>835</v>
      </c>
    </row>
    <row customHeight="1" ht="11.25">
      <c r="A395" s="1854" t="s">
        <v>2291</v>
      </c>
      <c r="B395" s="1854" t="s">
        <v>16</v>
      </c>
      <c r="C395" s="0" t="s">
        <v>3633</v>
      </c>
      <c r="D395" s="0" t="s">
        <v>3634</v>
      </c>
      <c r="E395" s="0" t="s">
        <v>3635</v>
      </c>
      <c r="F395" s="0" t="s">
        <v>2796</v>
      </c>
      <c r="G395" s="0" t="s">
        <v>3636</v>
      </c>
      <c r="H395" s="0" t="s">
        <v>3637</v>
      </c>
      <c r="I395" s="0" t="s">
        <v>835</v>
      </c>
    </row>
    <row customHeight="1" ht="11.25">
      <c r="A396" s="1854" t="s">
        <v>2291</v>
      </c>
      <c r="B396" s="1854" t="s">
        <v>16</v>
      </c>
      <c r="C396" s="0" t="s">
        <v>3638</v>
      </c>
      <c r="D396" s="0" t="s">
        <v>3639</v>
      </c>
      <c r="E396" s="0" t="s">
        <v>3640</v>
      </c>
      <c r="F396" s="0" t="s">
        <v>2389</v>
      </c>
      <c r="G396" s="0" t="s">
        <v>3641</v>
      </c>
      <c r="H396" s="0" t="s">
        <v>22</v>
      </c>
      <c r="I396" s="0" t="s">
        <v>835</v>
      </c>
    </row>
    <row customHeight="1" ht="11.25">
      <c r="A397" s="1854" t="s">
        <v>2291</v>
      </c>
      <c r="B397" s="1854" t="s">
        <v>16</v>
      </c>
      <c r="C397" s="0" t="s">
        <v>3642</v>
      </c>
      <c r="D397" s="0" t="s">
        <v>3643</v>
      </c>
      <c r="E397" s="0" t="s">
        <v>3644</v>
      </c>
      <c r="F397" s="0" t="s">
        <v>2467</v>
      </c>
      <c r="G397" s="0" t="s">
        <v>22</v>
      </c>
      <c r="H397" s="0" t="s">
        <v>22</v>
      </c>
      <c r="I397" s="0" t="s">
        <v>835</v>
      </c>
    </row>
    <row customHeight="1" ht="11.25">
      <c r="A398" s="1854" t="s">
        <v>2291</v>
      </c>
      <c r="B398" s="1854" t="s">
        <v>16</v>
      </c>
      <c r="C398" s="0" t="s">
        <v>3645</v>
      </c>
      <c r="D398" s="0" t="s">
        <v>3646</v>
      </c>
      <c r="E398" s="0" t="s">
        <v>3647</v>
      </c>
      <c r="F398" s="0" t="s">
        <v>2401</v>
      </c>
      <c r="G398" s="0" t="s">
        <v>3648</v>
      </c>
      <c r="H398" s="0" t="s">
        <v>22</v>
      </c>
      <c r="I398" s="0" t="s">
        <v>835</v>
      </c>
    </row>
    <row customHeight="1" ht="11.25">
      <c r="A399" s="1854" t="s">
        <v>2291</v>
      </c>
      <c r="B399" s="1854" t="s">
        <v>16</v>
      </c>
      <c r="C399" s="0" t="s">
        <v>3649</v>
      </c>
      <c r="D399" s="0" t="s">
        <v>3650</v>
      </c>
      <c r="E399" s="0" t="s">
        <v>3651</v>
      </c>
      <c r="F399" s="0" t="s">
        <v>2401</v>
      </c>
      <c r="G399" s="0" t="s">
        <v>22</v>
      </c>
      <c r="H399" s="0" t="s">
        <v>22</v>
      </c>
      <c r="I399" s="0" t="s">
        <v>835</v>
      </c>
    </row>
    <row customHeight="1" ht="11.25">
      <c r="A400" s="1854" t="s">
        <v>2291</v>
      </c>
      <c r="B400" s="1854" t="s">
        <v>16</v>
      </c>
      <c r="C400" s="0" t="s">
        <v>3652</v>
      </c>
      <c r="D400" s="0" t="s">
        <v>3653</v>
      </c>
      <c r="E400" s="0" t="s">
        <v>3654</v>
      </c>
      <c r="F400" s="0" t="s">
        <v>2393</v>
      </c>
      <c r="G400" s="0" t="s">
        <v>22</v>
      </c>
      <c r="H400" s="0" t="s">
        <v>22</v>
      </c>
      <c r="I400" s="0" t="s">
        <v>835</v>
      </c>
    </row>
    <row customHeight="1" ht="11.25">
      <c r="A401" s="1854" t="s">
        <v>2291</v>
      </c>
      <c r="B401" s="1854" t="s">
        <v>16</v>
      </c>
      <c r="C401" s="0" t="s">
        <v>3655</v>
      </c>
      <c r="D401" s="0" t="s">
        <v>3656</v>
      </c>
      <c r="E401" s="0" t="s">
        <v>3657</v>
      </c>
      <c r="F401" s="0" t="s">
        <v>2389</v>
      </c>
      <c r="G401" s="0" t="s">
        <v>22</v>
      </c>
      <c r="H401" s="0" t="s">
        <v>22</v>
      </c>
      <c r="I401" s="0" t="s">
        <v>835</v>
      </c>
    </row>
    <row customHeight="1" ht="11.25">
      <c r="A402" s="1854" t="s">
        <v>2291</v>
      </c>
      <c r="B402" s="1854" t="s">
        <v>16</v>
      </c>
      <c r="C402" s="0" t="s">
        <v>3658</v>
      </c>
      <c r="D402" s="0" t="s">
        <v>3659</v>
      </c>
      <c r="E402" s="0" t="s">
        <v>3660</v>
      </c>
      <c r="F402" s="0" t="s">
        <v>3661</v>
      </c>
      <c r="G402" s="0" t="s">
        <v>22</v>
      </c>
      <c r="H402" s="0" t="s">
        <v>22</v>
      </c>
      <c r="I402" s="0" t="s">
        <v>835</v>
      </c>
    </row>
    <row customHeight="1" ht="11.25">
      <c r="A403" s="1854" t="s">
        <v>2291</v>
      </c>
      <c r="B403" s="1854" t="s">
        <v>16</v>
      </c>
      <c r="C403" s="0" t="s">
        <v>3662</v>
      </c>
      <c r="D403" s="0" t="s">
        <v>3663</v>
      </c>
      <c r="E403" s="0" t="s">
        <v>3660</v>
      </c>
      <c r="F403" s="0" t="s">
        <v>2389</v>
      </c>
      <c r="G403" s="0" t="s">
        <v>22</v>
      </c>
      <c r="H403" s="0" t="s">
        <v>22</v>
      </c>
      <c r="I403" s="0" t="s">
        <v>835</v>
      </c>
    </row>
    <row customHeight="1" ht="11.25">
      <c r="A404" s="1854" t="s">
        <v>2291</v>
      </c>
      <c r="B404" s="1854" t="s">
        <v>16</v>
      </c>
      <c r="C404" s="0" t="s">
        <v>3664</v>
      </c>
      <c r="D404" s="0" t="s">
        <v>3665</v>
      </c>
      <c r="E404" s="0" t="s">
        <v>3660</v>
      </c>
      <c r="F404" s="0" t="s">
        <v>3666</v>
      </c>
      <c r="G404" s="0" t="s">
        <v>22</v>
      </c>
      <c r="H404" s="0" t="s">
        <v>22</v>
      </c>
      <c r="I404" s="0" t="s">
        <v>835</v>
      </c>
    </row>
    <row customHeight="1" ht="11.25">
      <c r="A405" s="1854" t="s">
        <v>2291</v>
      </c>
      <c r="B405" s="1854" t="s">
        <v>16</v>
      </c>
      <c r="C405" s="0" t="s">
        <v>3667</v>
      </c>
      <c r="D405" s="0" t="s">
        <v>3668</v>
      </c>
      <c r="E405" s="0" t="s">
        <v>3660</v>
      </c>
      <c r="F405" s="0" t="s">
        <v>3669</v>
      </c>
      <c r="G405" s="0" t="s">
        <v>22</v>
      </c>
      <c r="H405" s="0" t="s">
        <v>22</v>
      </c>
      <c r="I405" s="0" t="s">
        <v>835</v>
      </c>
    </row>
    <row customHeight="1" ht="11.25">
      <c r="A406" s="1854" t="s">
        <v>2291</v>
      </c>
      <c r="B406" s="1854" t="s">
        <v>16</v>
      </c>
      <c r="C406" s="0" t="s">
        <v>3670</v>
      </c>
      <c r="D406" s="0" t="s">
        <v>3671</v>
      </c>
      <c r="E406" s="0" t="s">
        <v>3660</v>
      </c>
      <c r="F406" s="0" t="s">
        <v>3672</v>
      </c>
      <c r="G406" s="0" t="s">
        <v>22</v>
      </c>
      <c r="H406" s="0" t="s">
        <v>22</v>
      </c>
      <c r="I406" s="0" t="s">
        <v>835</v>
      </c>
    </row>
    <row customHeight="1" ht="11.25">
      <c r="A407" s="1854" t="s">
        <v>2291</v>
      </c>
      <c r="B407" s="1854" t="s">
        <v>16</v>
      </c>
      <c r="C407" s="0" t="s">
        <v>3673</v>
      </c>
      <c r="D407" s="0" t="s">
        <v>3674</v>
      </c>
      <c r="E407" s="0" t="s">
        <v>3660</v>
      </c>
      <c r="F407" s="0" t="s">
        <v>3675</v>
      </c>
      <c r="G407" s="0" t="s">
        <v>22</v>
      </c>
      <c r="H407" s="0" t="s">
        <v>22</v>
      </c>
      <c r="I407" s="0" t="s">
        <v>835</v>
      </c>
    </row>
    <row customHeight="1" ht="11.25">
      <c r="A408" s="1854" t="s">
        <v>2291</v>
      </c>
      <c r="B408" s="1854" t="s">
        <v>16</v>
      </c>
      <c r="C408" s="0" t="s">
        <v>3676</v>
      </c>
      <c r="D408" s="0" t="s">
        <v>3677</v>
      </c>
      <c r="E408" s="0" t="s">
        <v>3660</v>
      </c>
      <c r="F408" s="0" t="s">
        <v>3678</v>
      </c>
      <c r="G408" s="0" t="s">
        <v>22</v>
      </c>
      <c r="H408" s="0" t="s">
        <v>22</v>
      </c>
      <c r="I408" s="0" t="s">
        <v>835</v>
      </c>
    </row>
    <row customHeight="1" ht="11.25">
      <c r="A409" s="1854" t="s">
        <v>2291</v>
      </c>
      <c r="B409" s="1854" t="s">
        <v>16</v>
      </c>
      <c r="C409" s="0" t="s">
        <v>3679</v>
      </c>
      <c r="D409" s="0" t="s">
        <v>3680</v>
      </c>
      <c r="E409" s="0" t="s">
        <v>3660</v>
      </c>
      <c r="F409" s="0" t="s">
        <v>3681</v>
      </c>
      <c r="G409" s="0" t="s">
        <v>22</v>
      </c>
      <c r="H409" s="0" t="s">
        <v>22</v>
      </c>
      <c r="I409" s="0" t="s">
        <v>835</v>
      </c>
    </row>
    <row customHeight="1" ht="11.25">
      <c r="A410" s="1854" t="s">
        <v>2291</v>
      </c>
      <c r="B410" s="1854" t="s">
        <v>16</v>
      </c>
      <c r="C410" s="0" t="s">
        <v>3682</v>
      </c>
      <c r="D410" s="0" t="s">
        <v>3683</v>
      </c>
      <c r="E410" s="0" t="s">
        <v>3660</v>
      </c>
      <c r="F410" s="0" t="s">
        <v>3684</v>
      </c>
      <c r="G410" s="0" t="s">
        <v>22</v>
      </c>
      <c r="H410" s="0" t="s">
        <v>22</v>
      </c>
      <c r="I410" s="0" t="s">
        <v>835</v>
      </c>
    </row>
    <row customHeight="1" ht="11.25">
      <c r="A411" s="1854" t="s">
        <v>2291</v>
      </c>
      <c r="B411" s="1854" t="s">
        <v>16</v>
      </c>
      <c r="C411" s="0" t="s">
        <v>3685</v>
      </c>
      <c r="D411" s="0" t="s">
        <v>3686</v>
      </c>
      <c r="E411" s="0" t="s">
        <v>3660</v>
      </c>
      <c r="F411" s="0" t="s">
        <v>3687</v>
      </c>
      <c r="G411" s="0" t="s">
        <v>22</v>
      </c>
      <c r="H411" s="0" t="s">
        <v>22</v>
      </c>
      <c r="I411" s="0" t="s">
        <v>835</v>
      </c>
    </row>
    <row customHeight="1" ht="11.25">
      <c r="A412" s="1854" t="s">
        <v>2291</v>
      </c>
      <c r="B412" s="1854" t="s">
        <v>16</v>
      </c>
      <c r="C412" s="0" t="s">
        <v>3688</v>
      </c>
      <c r="D412" s="0" t="s">
        <v>3689</v>
      </c>
      <c r="E412" s="0" t="s">
        <v>3660</v>
      </c>
      <c r="F412" s="0" t="s">
        <v>3690</v>
      </c>
      <c r="G412" s="0" t="s">
        <v>22</v>
      </c>
      <c r="H412" s="0" t="s">
        <v>22</v>
      </c>
      <c r="I412" s="0" t="s">
        <v>835</v>
      </c>
    </row>
    <row customHeight="1" ht="11.25">
      <c r="A413" s="1854" t="s">
        <v>2291</v>
      </c>
      <c r="B413" s="1854" t="s">
        <v>16</v>
      </c>
      <c r="C413" s="0" t="s">
        <v>3691</v>
      </c>
      <c r="D413" s="0" t="s">
        <v>3692</v>
      </c>
      <c r="E413" s="0" t="s">
        <v>3693</v>
      </c>
      <c r="F413" s="0" t="s">
        <v>2727</v>
      </c>
      <c r="G413" s="0" t="s">
        <v>3694</v>
      </c>
      <c r="H413" s="0" t="s">
        <v>22</v>
      </c>
      <c r="I413" s="0" t="s">
        <v>835</v>
      </c>
    </row>
    <row customHeight="1" ht="11.25">
      <c r="A414" s="1854" t="s">
        <v>2291</v>
      </c>
      <c r="B414" s="1854" t="s">
        <v>16</v>
      </c>
      <c r="C414" s="0" t="s">
        <v>3695</v>
      </c>
      <c r="D414" s="0" t="s">
        <v>3696</v>
      </c>
      <c r="E414" s="0" t="s">
        <v>3693</v>
      </c>
      <c r="F414" s="0" t="s">
        <v>3697</v>
      </c>
      <c r="G414" s="0" t="s">
        <v>3694</v>
      </c>
      <c r="H414" s="0" t="s">
        <v>22</v>
      </c>
      <c r="I414" s="0" t="s">
        <v>835</v>
      </c>
    </row>
    <row customHeight="1" ht="11.25">
      <c r="A415" s="1854" t="s">
        <v>2291</v>
      </c>
      <c r="B415" s="1854" t="s">
        <v>16</v>
      </c>
      <c r="C415" s="0" t="s">
        <v>3698</v>
      </c>
      <c r="D415" s="0" t="s">
        <v>3699</v>
      </c>
      <c r="E415" s="0" t="s">
        <v>3700</v>
      </c>
      <c r="F415" s="0" t="s">
        <v>3701</v>
      </c>
      <c r="G415" s="0" t="s">
        <v>22</v>
      </c>
      <c r="H415" s="0" t="s">
        <v>3702</v>
      </c>
      <c r="I415" s="0" t="s">
        <v>835</v>
      </c>
    </row>
    <row customHeight="1" ht="11.25">
      <c r="A416" s="1854" t="s">
        <v>2291</v>
      </c>
      <c r="B416" s="1854" t="s">
        <v>16</v>
      </c>
      <c r="C416" s="0" t="s">
        <v>3703</v>
      </c>
      <c r="D416" s="0" t="s">
        <v>3704</v>
      </c>
      <c r="E416" s="0" t="s">
        <v>3705</v>
      </c>
      <c r="F416" s="0" t="s">
        <v>2405</v>
      </c>
      <c r="G416" s="0" t="s">
        <v>22</v>
      </c>
      <c r="H416" s="0" t="s">
        <v>22</v>
      </c>
      <c r="I416" s="0" t="s">
        <v>835</v>
      </c>
    </row>
    <row customHeight="1" ht="11.25">
      <c r="A417" s="1854" t="s">
        <v>2291</v>
      </c>
      <c r="B417" s="1854" t="s">
        <v>16</v>
      </c>
      <c r="C417" s="0" t="s">
        <v>3706</v>
      </c>
      <c r="D417" s="0" t="s">
        <v>3707</v>
      </c>
      <c r="E417" s="0" t="s">
        <v>3708</v>
      </c>
      <c r="F417" s="0" t="s">
        <v>2401</v>
      </c>
      <c r="G417" s="0" t="s">
        <v>22</v>
      </c>
      <c r="H417" s="0" t="s">
        <v>22</v>
      </c>
      <c r="I417" s="0" t="s">
        <v>835</v>
      </c>
    </row>
    <row customHeight="1" ht="11.25">
      <c r="A418" s="1854" t="s">
        <v>2291</v>
      </c>
      <c r="B418" s="1854" t="s">
        <v>16</v>
      </c>
      <c r="C418" s="0" t="s">
        <v>3709</v>
      </c>
      <c r="D418" s="0" t="s">
        <v>3710</v>
      </c>
      <c r="E418" s="0" t="s">
        <v>3711</v>
      </c>
      <c r="F418" s="0" t="s">
        <v>3712</v>
      </c>
      <c r="G418" s="0" t="s">
        <v>22</v>
      </c>
      <c r="H418" s="0" t="s">
        <v>22</v>
      </c>
      <c r="I418" s="0" t="s">
        <v>835</v>
      </c>
    </row>
    <row customHeight="1" ht="11.25">
      <c r="A419" s="1854" t="s">
        <v>2291</v>
      </c>
      <c r="B419" s="1854" t="s">
        <v>16</v>
      </c>
      <c r="C419" s="0" t="s">
        <v>3713</v>
      </c>
      <c r="D419" s="0" t="s">
        <v>3714</v>
      </c>
      <c r="E419" s="0" t="s">
        <v>3715</v>
      </c>
      <c r="F419" s="0" t="s">
        <v>3716</v>
      </c>
      <c r="G419" s="0" t="s">
        <v>22</v>
      </c>
      <c r="H419" s="0" t="s">
        <v>22</v>
      </c>
      <c r="I419" s="0" t="s">
        <v>835</v>
      </c>
    </row>
    <row customHeight="1" ht="11.25">
      <c r="A420" s="1854" t="s">
        <v>2291</v>
      </c>
      <c r="B420" s="1854" t="s">
        <v>16</v>
      </c>
      <c r="C420" s="0" t="s">
        <v>3717</v>
      </c>
      <c r="D420" s="0" t="s">
        <v>3718</v>
      </c>
      <c r="E420" s="0" t="s">
        <v>3719</v>
      </c>
      <c r="F420" s="0" t="s">
        <v>2393</v>
      </c>
      <c r="G420" s="0" t="s">
        <v>3720</v>
      </c>
      <c r="H420" s="0" t="s">
        <v>22</v>
      </c>
      <c r="I420" s="0" t="s">
        <v>835</v>
      </c>
    </row>
    <row customHeight="1" ht="11.25">
      <c r="A421" s="1854" t="s">
        <v>2291</v>
      </c>
      <c r="B421" s="1854" t="s">
        <v>16</v>
      </c>
      <c r="C421" s="0" t="s">
        <v>3721</v>
      </c>
      <c r="D421" s="0" t="s">
        <v>3722</v>
      </c>
      <c r="E421" s="0" t="s">
        <v>3723</v>
      </c>
      <c r="F421" s="0" t="s">
        <v>2313</v>
      </c>
      <c r="G421" s="0" t="s">
        <v>22</v>
      </c>
      <c r="H421" s="0" t="s">
        <v>22</v>
      </c>
      <c r="I421" s="0" t="s">
        <v>835</v>
      </c>
    </row>
    <row customHeight="1" ht="11.25">
      <c r="A422" s="1854" t="s">
        <v>2291</v>
      </c>
      <c r="B422" s="1854" t="s">
        <v>16</v>
      </c>
      <c r="C422" s="0" t="s">
        <v>3724</v>
      </c>
      <c r="D422" s="0" t="s">
        <v>3725</v>
      </c>
      <c r="E422" s="0" t="s">
        <v>3726</v>
      </c>
      <c r="F422" s="0" t="s">
        <v>3727</v>
      </c>
      <c r="G422" s="0" t="s">
        <v>22</v>
      </c>
      <c r="H422" s="0" t="s">
        <v>22</v>
      </c>
      <c r="I422" s="0" t="s">
        <v>835</v>
      </c>
    </row>
    <row customHeight="1" ht="11.25">
      <c r="A423" s="1854" t="s">
        <v>2291</v>
      </c>
      <c r="B423" s="1854" t="s">
        <v>16</v>
      </c>
      <c r="C423" s="0" t="s">
        <v>3728</v>
      </c>
      <c r="D423" s="0" t="s">
        <v>3729</v>
      </c>
      <c r="E423" s="0" t="s">
        <v>3730</v>
      </c>
      <c r="F423" s="0" t="s">
        <v>2295</v>
      </c>
      <c r="G423" s="0" t="s">
        <v>2797</v>
      </c>
      <c r="H423" s="0" t="s">
        <v>22</v>
      </c>
      <c r="I423" s="0" t="s">
        <v>835</v>
      </c>
    </row>
    <row customHeight="1" ht="11.25">
      <c r="A424" s="1854" t="s">
        <v>2291</v>
      </c>
      <c r="B424" s="1854" t="s">
        <v>16</v>
      </c>
      <c r="C424" s="0" t="s">
        <v>3731</v>
      </c>
      <c r="D424" s="0" t="s">
        <v>3732</v>
      </c>
      <c r="E424" s="0" t="s">
        <v>3733</v>
      </c>
      <c r="F424" s="0" t="s">
        <v>2377</v>
      </c>
      <c r="G424" s="0" t="s">
        <v>22</v>
      </c>
      <c r="H424" s="0" t="s">
        <v>22</v>
      </c>
      <c r="I424" s="0" t="s">
        <v>835</v>
      </c>
    </row>
    <row customHeight="1" ht="11.25">
      <c r="A425" s="1854" t="s">
        <v>2291</v>
      </c>
      <c r="B425" s="1854" t="s">
        <v>16</v>
      </c>
      <c r="C425" s="0" t="s">
        <v>3734</v>
      </c>
      <c r="D425" s="0" t="s">
        <v>3735</v>
      </c>
      <c r="E425" s="0" t="s">
        <v>3736</v>
      </c>
      <c r="F425" s="0" t="s">
        <v>2389</v>
      </c>
      <c r="G425" s="0" t="s">
        <v>3162</v>
      </c>
      <c r="H425" s="0" t="s">
        <v>22</v>
      </c>
      <c r="I425" s="0" t="s">
        <v>835</v>
      </c>
    </row>
    <row customHeight="1" ht="11.25">
      <c r="A426" s="1854" t="s">
        <v>2291</v>
      </c>
      <c r="B426" s="1854" t="s">
        <v>16</v>
      </c>
      <c r="C426" s="0" t="s">
        <v>3737</v>
      </c>
      <c r="D426" s="0" t="s">
        <v>3738</v>
      </c>
      <c r="E426" s="0" t="s">
        <v>3739</v>
      </c>
      <c r="F426" s="0" t="s">
        <v>2295</v>
      </c>
      <c r="G426" s="0" t="s">
        <v>3740</v>
      </c>
      <c r="H426" s="0" t="s">
        <v>22</v>
      </c>
      <c r="I426" s="0" t="s">
        <v>835</v>
      </c>
    </row>
    <row customHeight="1" ht="11.25">
      <c r="A427" s="1854" t="s">
        <v>2291</v>
      </c>
      <c r="B427" s="1854" t="s">
        <v>16</v>
      </c>
      <c r="C427" s="0" t="s">
        <v>3741</v>
      </c>
      <c r="D427" s="0" t="s">
        <v>3742</v>
      </c>
      <c r="E427" s="0" t="s">
        <v>3743</v>
      </c>
      <c r="F427" s="0" t="s">
        <v>3744</v>
      </c>
      <c r="G427" s="0" t="s">
        <v>22</v>
      </c>
      <c r="H427" s="0" t="s">
        <v>3745</v>
      </c>
      <c r="I427" s="0" t="s">
        <v>835</v>
      </c>
    </row>
    <row customHeight="1" ht="11.25">
      <c r="A428" s="1854" t="s">
        <v>2291</v>
      </c>
      <c r="B428" s="1854" t="s">
        <v>16</v>
      </c>
      <c r="C428" s="0" t="s">
        <v>3746</v>
      </c>
      <c r="D428" s="0" t="s">
        <v>3747</v>
      </c>
      <c r="E428" s="0" t="s">
        <v>3748</v>
      </c>
      <c r="F428" s="0" t="s">
        <v>2405</v>
      </c>
      <c r="G428" s="0" t="s">
        <v>3749</v>
      </c>
      <c r="H428" s="0" t="s">
        <v>3750</v>
      </c>
      <c r="I428" s="0" t="s">
        <v>835</v>
      </c>
    </row>
    <row customHeight="1" ht="11.25">
      <c r="A429" s="1854" t="s">
        <v>2291</v>
      </c>
      <c r="B429" s="1854" t="s">
        <v>16</v>
      </c>
      <c r="C429" s="0" t="s">
        <v>3751</v>
      </c>
      <c r="D429" s="0" t="s">
        <v>3752</v>
      </c>
      <c r="E429" s="0" t="s">
        <v>3753</v>
      </c>
      <c r="F429" s="0" t="s">
        <v>2295</v>
      </c>
      <c r="G429" s="0" t="s">
        <v>22</v>
      </c>
      <c r="H429" s="0" t="s">
        <v>22</v>
      </c>
      <c r="I429" s="0" t="s">
        <v>835</v>
      </c>
    </row>
    <row customHeight="1" ht="11.25">
      <c r="A430" s="1854" t="s">
        <v>2291</v>
      </c>
      <c r="B430" s="1854" t="s">
        <v>16</v>
      </c>
      <c r="C430" s="0" t="s">
        <v>3754</v>
      </c>
      <c r="D430" s="0" t="s">
        <v>3755</v>
      </c>
      <c r="E430" s="0" t="s">
        <v>3756</v>
      </c>
      <c r="F430" s="0" t="s">
        <v>2405</v>
      </c>
      <c r="G430" s="0" t="s">
        <v>3757</v>
      </c>
      <c r="H430" s="0" t="s">
        <v>3758</v>
      </c>
      <c r="I430" s="0" t="s">
        <v>835</v>
      </c>
    </row>
    <row customHeight="1" ht="11.25">
      <c r="A431" s="1854" t="s">
        <v>2291</v>
      </c>
      <c r="B431" s="1854" t="s">
        <v>16</v>
      </c>
      <c r="C431" s="0" t="s">
        <v>3759</v>
      </c>
      <c r="D431" s="0" t="s">
        <v>3760</v>
      </c>
      <c r="E431" s="0" t="s">
        <v>3761</v>
      </c>
      <c r="F431" s="0" t="s">
        <v>3762</v>
      </c>
      <c r="G431" s="0" t="s">
        <v>22</v>
      </c>
      <c r="H431" s="0" t="s">
        <v>22</v>
      </c>
      <c r="I431" s="0" t="s">
        <v>835</v>
      </c>
    </row>
    <row customHeight="1" ht="11.25">
      <c r="A432" s="1854" t="s">
        <v>2291</v>
      </c>
      <c r="B432" s="1854" t="s">
        <v>16</v>
      </c>
      <c r="C432" s="0" t="s">
        <v>3763</v>
      </c>
      <c r="D432" s="0" t="s">
        <v>3764</v>
      </c>
      <c r="E432" s="0" t="s">
        <v>3765</v>
      </c>
      <c r="F432" s="0" t="s">
        <v>2393</v>
      </c>
      <c r="G432" s="0" t="s">
        <v>22</v>
      </c>
      <c r="H432" s="0" t="s">
        <v>22</v>
      </c>
      <c r="I432" s="0" t="s">
        <v>835</v>
      </c>
    </row>
    <row customHeight="1" ht="11.25">
      <c r="A433" s="1854" t="s">
        <v>2291</v>
      </c>
      <c r="B433" s="1854" t="s">
        <v>16</v>
      </c>
      <c r="C433" s="0" t="s">
        <v>3766</v>
      </c>
      <c r="D433" s="0" t="s">
        <v>3767</v>
      </c>
      <c r="E433" s="0" t="s">
        <v>3768</v>
      </c>
      <c r="F433" s="0" t="s">
        <v>2295</v>
      </c>
      <c r="G433" s="0" t="s">
        <v>22</v>
      </c>
      <c r="H433" s="0" t="s">
        <v>22</v>
      </c>
      <c r="I433" s="0" t="s">
        <v>835</v>
      </c>
    </row>
    <row customHeight="1" ht="11.25">
      <c r="A434" s="1854" t="s">
        <v>2291</v>
      </c>
      <c r="B434" s="1854" t="s">
        <v>16</v>
      </c>
      <c r="C434" s="0" t="s">
        <v>3769</v>
      </c>
      <c r="D434" s="0" t="s">
        <v>3770</v>
      </c>
      <c r="E434" s="0" t="s">
        <v>3771</v>
      </c>
      <c r="F434" s="0" t="s">
        <v>2389</v>
      </c>
      <c r="G434" s="0" t="s">
        <v>22</v>
      </c>
      <c r="H434" s="0" t="s">
        <v>22</v>
      </c>
      <c r="I434" s="0" t="s">
        <v>835</v>
      </c>
    </row>
    <row customHeight="1" ht="11.25">
      <c r="A435" s="1854" t="s">
        <v>2291</v>
      </c>
      <c r="B435" s="1854" t="s">
        <v>16</v>
      </c>
      <c r="C435" s="0" t="s">
        <v>3772</v>
      </c>
      <c r="D435" s="0" t="s">
        <v>3773</v>
      </c>
      <c r="E435" s="0" t="s">
        <v>3774</v>
      </c>
      <c r="F435" s="0" t="s">
        <v>2401</v>
      </c>
      <c r="G435" s="0" t="s">
        <v>3775</v>
      </c>
      <c r="H435" s="0" t="s">
        <v>22</v>
      </c>
      <c r="I435" s="0" t="s">
        <v>835</v>
      </c>
    </row>
    <row customHeight="1" ht="11.25">
      <c r="A436" s="1854" t="s">
        <v>2291</v>
      </c>
      <c r="B436" s="1854" t="s">
        <v>16</v>
      </c>
      <c r="C436" s="0" t="s">
        <v>3776</v>
      </c>
      <c r="D436" s="0" t="s">
        <v>3777</v>
      </c>
      <c r="E436" s="0" t="s">
        <v>3778</v>
      </c>
      <c r="F436" s="0" t="s">
        <v>2750</v>
      </c>
      <c r="G436" s="0" t="s">
        <v>22</v>
      </c>
      <c r="H436" s="0" t="s">
        <v>22</v>
      </c>
      <c r="I436" s="0" t="s">
        <v>835</v>
      </c>
    </row>
    <row customHeight="1" ht="11.25">
      <c r="A437" s="1854" t="s">
        <v>2291</v>
      </c>
      <c r="B437" s="1854" t="s">
        <v>16</v>
      </c>
      <c r="C437" s="0" t="s">
        <v>3779</v>
      </c>
      <c r="D437" s="0" t="s">
        <v>3780</v>
      </c>
      <c r="E437" s="0" t="s">
        <v>3781</v>
      </c>
      <c r="F437" s="0" t="s">
        <v>2401</v>
      </c>
      <c r="G437" s="0" t="s">
        <v>22</v>
      </c>
      <c r="H437" s="0" t="s">
        <v>22</v>
      </c>
      <c r="I437" s="0" t="s">
        <v>835</v>
      </c>
    </row>
    <row customHeight="1" ht="11.25">
      <c r="A438" s="1854" t="s">
        <v>2291</v>
      </c>
      <c r="B438" s="1854" t="s">
        <v>16</v>
      </c>
      <c r="C438" s="0" t="s">
        <v>3782</v>
      </c>
      <c r="D438" s="0" t="s">
        <v>3783</v>
      </c>
      <c r="E438" s="0" t="s">
        <v>3784</v>
      </c>
      <c r="F438" s="0" t="s">
        <v>2401</v>
      </c>
      <c r="G438" s="0" t="s">
        <v>22</v>
      </c>
      <c r="H438" s="0" t="s">
        <v>22</v>
      </c>
      <c r="I438" s="0" t="s">
        <v>835</v>
      </c>
    </row>
    <row customHeight="1" ht="11.25">
      <c r="A439" s="1854" t="s">
        <v>2291</v>
      </c>
      <c r="B439" s="1854" t="s">
        <v>16</v>
      </c>
      <c r="C439" s="0" t="s">
        <v>3785</v>
      </c>
      <c r="D439" s="0" t="s">
        <v>3786</v>
      </c>
      <c r="E439" s="0" t="s">
        <v>3787</v>
      </c>
      <c r="F439" s="0" t="s">
        <v>2389</v>
      </c>
      <c r="G439" s="0" t="s">
        <v>22</v>
      </c>
      <c r="H439" s="0" t="s">
        <v>3788</v>
      </c>
      <c r="I439" s="0" t="s">
        <v>835</v>
      </c>
    </row>
    <row customHeight="1" ht="11.25">
      <c r="A440" s="1854" t="s">
        <v>2291</v>
      </c>
      <c r="B440" s="1854" t="s">
        <v>16</v>
      </c>
      <c r="C440" s="0" t="s">
        <v>3789</v>
      </c>
      <c r="D440" s="0" t="s">
        <v>3790</v>
      </c>
      <c r="E440" s="0" t="s">
        <v>3791</v>
      </c>
      <c r="F440" s="0" t="s">
        <v>2393</v>
      </c>
      <c r="G440" s="0" t="s">
        <v>22</v>
      </c>
      <c r="H440" s="0" t="s">
        <v>22</v>
      </c>
      <c r="I440" s="0" t="s">
        <v>835</v>
      </c>
    </row>
    <row customHeight="1" ht="11.25">
      <c r="A441" s="1854" t="s">
        <v>2291</v>
      </c>
      <c r="B441" s="1854" t="s">
        <v>16</v>
      </c>
      <c r="C441" s="0" t="s">
        <v>3792</v>
      </c>
      <c r="D441" s="0" t="s">
        <v>3793</v>
      </c>
      <c r="E441" s="0" t="s">
        <v>3794</v>
      </c>
      <c r="F441" s="0" t="s">
        <v>3795</v>
      </c>
      <c r="G441" s="0" t="s">
        <v>22</v>
      </c>
      <c r="H441" s="0" t="s">
        <v>2642</v>
      </c>
      <c r="I441" s="0" t="s">
        <v>835</v>
      </c>
    </row>
    <row customHeight="1" ht="11.25">
      <c r="A442" s="1854" t="s">
        <v>2291</v>
      </c>
      <c r="B442" s="1854" t="s">
        <v>16</v>
      </c>
      <c r="C442" s="0" t="s">
        <v>3796</v>
      </c>
      <c r="D442" s="0" t="s">
        <v>3797</v>
      </c>
      <c r="E442" s="0" t="s">
        <v>3798</v>
      </c>
      <c r="F442" s="0" t="s">
        <v>2393</v>
      </c>
      <c r="G442" s="0" t="s">
        <v>2378</v>
      </c>
      <c r="H442" s="0" t="s">
        <v>22</v>
      </c>
      <c r="I442" s="0" t="s">
        <v>835</v>
      </c>
    </row>
    <row customHeight="1" ht="11.25">
      <c r="A443" s="1854" t="s">
        <v>2291</v>
      </c>
      <c r="B443" s="1854" t="s">
        <v>16</v>
      </c>
      <c r="C443" s="0" t="s">
        <v>3799</v>
      </c>
      <c r="D443" s="0" t="s">
        <v>3800</v>
      </c>
      <c r="E443" s="0" t="s">
        <v>3801</v>
      </c>
      <c r="F443" s="0" t="s">
        <v>2389</v>
      </c>
      <c r="G443" s="0" t="s">
        <v>3802</v>
      </c>
      <c r="H443" s="0" t="s">
        <v>22</v>
      </c>
      <c r="I443" s="0" t="s">
        <v>835</v>
      </c>
    </row>
    <row customHeight="1" ht="11.25">
      <c r="A444" s="1854" t="s">
        <v>2291</v>
      </c>
      <c r="B444" s="1854" t="s">
        <v>16</v>
      </c>
      <c r="C444" s="0" t="s">
        <v>3803</v>
      </c>
      <c r="D444" s="0" t="s">
        <v>3804</v>
      </c>
      <c r="E444" s="0" t="s">
        <v>3805</v>
      </c>
      <c r="F444" s="0" t="s">
        <v>2377</v>
      </c>
      <c r="G444" s="0" t="s">
        <v>3806</v>
      </c>
      <c r="H444" s="0" t="s">
        <v>22</v>
      </c>
      <c r="I444" s="0" t="s">
        <v>835</v>
      </c>
    </row>
    <row customHeight="1" ht="11.25">
      <c r="A445" s="1854" t="s">
        <v>2291</v>
      </c>
      <c r="B445" s="1854" t="s">
        <v>16</v>
      </c>
      <c r="C445" s="0" t="s">
        <v>3807</v>
      </c>
      <c r="D445" s="0" t="s">
        <v>3808</v>
      </c>
      <c r="E445" s="0" t="s">
        <v>3809</v>
      </c>
      <c r="F445" s="0" t="s">
        <v>2416</v>
      </c>
      <c r="G445" s="0" t="s">
        <v>22</v>
      </c>
      <c r="H445" s="0" t="s">
        <v>22</v>
      </c>
      <c r="I445" s="0" t="s">
        <v>835</v>
      </c>
    </row>
    <row customHeight="1" ht="11.25">
      <c r="A446" s="1854" t="s">
        <v>2291</v>
      </c>
      <c r="B446" s="1854" t="s">
        <v>16</v>
      </c>
      <c r="C446" s="0" t="s">
        <v>3810</v>
      </c>
      <c r="D446" s="0" t="s">
        <v>3811</v>
      </c>
      <c r="E446" s="0" t="s">
        <v>3812</v>
      </c>
      <c r="F446" s="0" t="s">
        <v>3813</v>
      </c>
      <c r="G446" s="0" t="s">
        <v>22</v>
      </c>
      <c r="H446" s="0" t="s">
        <v>22</v>
      </c>
      <c r="I446" s="0" t="s">
        <v>835</v>
      </c>
    </row>
    <row customHeight="1" ht="11.25">
      <c r="A447" s="1854" t="s">
        <v>2291</v>
      </c>
      <c r="B447" s="1854" t="s">
        <v>16</v>
      </c>
      <c r="C447" s="0" t="s">
        <v>3814</v>
      </c>
      <c r="D447" s="0" t="s">
        <v>3815</v>
      </c>
      <c r="E447" s="0" t="s">
        <v>3816</v>
      </c>
      <c r="F447" s="0" t="s">
        <v>2640</v>
      </c>
      <c r="G447" s="0" t="s">
        <v>3817</v>
      </c>
      <c r="H447" s="0" t="s">
        <v>22</v>
      </c>
      <c r="I447" s="0" t="s">
        <v>835</v>
      </c>
    </row>
    <row customHeight="1" ht="11.25">
      <c r="A448" s="1854" t="s">
        <v>2291</v>
      </c>
      <c r="B448" s="1854" t="s">
        <v>16</v>
      </c>
      <c r="C448" s="0" t="s">
        <v>3818</v>
      </c>
      <c r="D448" s="0" t="s">
        <v>3819</v>
      </c>
      <c r="E448" s="0" t="s">
        <v>3820</v>
      </c>
      <c r="F448" s="0" t="s">
        <v>2416</v>
      </c>
      <c r="G448" s="0" t="s">
        <v>22</v>
      </c>
      <c r="H448" s="0" t="s">
        <v>22</v>
      </c>
      <c r="I448" s="0" t="s">
        <v>835</v>
      </c>
    </row>
    <row customHeight="1" ht="11.25">
      <c r="A449" s="1854" t="s">
        <v>2291</v>
      </c>
      <c r="B449" s="1854" t="s">
        <v>16</v>
      </c>
      <c r="C449" s="0" t="s">
        <v>3821</v>
      </c>
      <c r="D449" s="0" t="s">
        <v>3822</v>
      </c>
      <c r="E449" s="0" t="s">
        <v>3823</v>
      </c>
      <c r="F449" s="0" t="s">
        <v>2640</v>
      </c>
      <c r="G449" s="0" t="s">
        <v>22</v>
      </c>
      <c r="H449" s="0" t="s">
        <v>22</v>
      </c>
      <c r="I449" s="0" t="s">
        <v>835</v>
      </c>
    </row>
    <row customHeight="1" ht="11.25">
      <c r="A450" s="1854" t="s">
        <v>2291</v>
      </c>
      <c r="B450" s="1854" t="s">
        <v>16</v>
      </c>
      <c r="C450" s="0" t="s">
        <v>3824</v>
      </c>
      <c r="D450" s="0" t="s">
        <v>3825</v>
      </c>
      <c r="E450" s="0" t="s">
        <v>3826</v>
      </c>
      <c r="F450" s="0" t="s">
        <v>2401</v>
      </c>
      <c r="G450" s="0" t="s">
        <v>22</v>
      </c>
      <c r="H450" s="0" t="s">
        <v>22</v>
      </c>
      <c r="I450" s="0" t="s">
        <v>835</v>
      </c>
    </row>
    <row customHeight="1" ht="11.25">
      <c r="A451" s="1854" t="s">
        <v>2291</v>
      </c>
      <c r="B451" s="1854" t="s">
        <v>16</v>
      </c>
      <c r="C451" s="0" t="s">
        <v>3827</v>
      </c>
      <c r="D451" s="0" t="s">
        <v>3828</v>
      </c>
      <c r="E451" s="0" t="s">
        <v>3829</v>
      </c>
      <c r="F451" s="0" t="s">
        <v>2389</v>
      </c>
      <c r="G451" s="0" t="s">
        <v>22</v>
      </c>
      <c r="H451" s="0" t="s">
        <v>22</v>
      </c>
      <c r="I451" s="0" t="s">
        <v>835</v>
      </c>
    </row>
    <row customHeight="1" ht="11.25">
      <c r="A452" s="1854" t="s">
        <v>2291</v>
      </c>
      <c r="B452" s="1854" t="s">
        <v>16</v>
      </c>
      <c r="C452" s="0" t="s">
        <v>3830</v>
      </c>
      <c r="D452" s="0" t="s">
        <v>3831</v>
      </c>
      <c r="E452" s="0" t="s">
        <v>3832</v>
      </c>
      <c r="F452" s="0" t="s">
        <v>3833</v>
      </c>
      <c r="G452" s="0" t="s">
        <v>22</v>
      </c>
      <c r="H452" s="0" t="s">
        <v>22</v>
      </c>
      <c r="I452" s="0" t="s">
        <v>835</v>
      </c>
    </row>
    <row customHeight="1" ht="11.25">
      <c r="A453" s="1854" t="s">
        <v>2291</v>
      </c>
      <c r="B453" s="1854" t="s">
        <v>16</v>
      </c>
      <c r="C453" s="0" t="s">
        <v>3834</v>
      </c>
      <c r="D453" s="0" t="s">
        <v>3835</v>
      </c>
      <c r="E453" s="0" t="s">
        <v>3836</v>
      </c>
      <c r="F453" s="0" t="s">
        <v>2389</v>
      </c>
      <c r="G453" s="0" t="s">
        <v>22</v>
      </c>
      <c r="H453" s="0" t="s">
        <v>22</v>
      </c>
      <c r="I453" s="0" t="s">
        <v>835</v>
      </c>
    </row>
    <row customHeight="1" ht="11.25">
      <c r="A454" s="1854" t="s">
        <v>2291</v>
      </c>
      <c r="B454" s="1854" t="s">
        <v>16</v>
      </c>
      <c r="C454" s="0" t="s">
        <v>3837</v>
      </c>
      <c r="D454" s="0" t="s">
        <v>3838</v>
      </c>
      <c r="E454" s="0" t="s">
        <v>3839</v>
      </c>
      <c r="F454" s="0" t="s">
        <v>3840</v>
      </c>
      <c r="G454" s="0" t="s">
        <v>22</v>
      </c>
      <c r="H454" s="0" t="s">
        <v>22</v>
      </c>
      <c r="I454" s="0" t="s">
        <v>835</v>
      </c>
    </row>
    <row customHeight="1" ht="11.25">
      <c r="A455" s="1854" t="s">
        <v>2291</v>
      </c>
      <c r="B455" s="1854" t="s">
        <v>16</v>
      </c>
      <c r="C455" s="0" t="s">
        <v>3841</v>
      </c>
      <c r="D455" s="0" t="s">
        <v>3842</v>
      </c>
      <c r="E455" s="0" t="s">
        <v>3843</v>
      </c>
      <c r="F455" s="0" t="s">
        <v>2405</v>
      </c>
      <c r="G455" s="0" t="s">
        <v>22</v>
      </c>
      <c r="H455" s="0" t="s">
        <v>22</v>
      </c>
      <c r="I455" s="0" t="s">
        <v>835</v>
      </c>
    </row>
    <row customHeight="1" ht="11.25">
      <c r="A456" s="1854" t="s">
        <v>2291</v>
      </c>
      <c r="B456" s="1854" t="s">
        <v>16</v>
      </c>
      <c r="C456" s="0" t="s">
        <v>3844</v>
      </c>
      <c r="D456" s="0" t="s">
        <v>3845</v>
      </c>
      <c r="E456" s="0" t="s">
        <v>3846</v>
      </c>
      <c r="F456" s="0" t="s">
        <v>2351</v>
      </c>
      <c r="G456" s="0" t="s">
        <v>22</v>
      </c>
      <c r="H456" s="0" t="s">
        <v>22</v>
      </c>
      <c r="I456" s="0" t="s">
        <v>835</v>
      </c>
    </row>
    <row customHeight="1" ht="11.25">
      <c r="A457" s="1854" t="s">
        <v>2291</v>
      </c>
      <c r="B457" s="1854" t="s">
        <v>16</v>
      </c>
      <c r="C457" s="0" t="s">
        <v>3847</v>
      </c>
      <c r="D457" s="0" t="s">
        <v>3848</v>
      </c>
      <c r="E457" s="0" t="s">
        <v>3849</v>
      </c>
      <c r="F457" s="0" t="s">
        <v>2351</v>
      </c>
      <c r="G457" s="0" t="s">
        <v>3850</v>
      </c>
      <c r="H457" s="0" t="s">
        <v>22</v>
      </c>
      <c r="I457" s="0" t="s">
        <v>835</v>
      </c>
    </row>
    <row customHeight="1" ht="11.25">
      <c r="A458" s="1854" t="s">
        <v>2291</v>
      </c>
      <c r="B458" s="1854" t="s">
        <v>16</v>
      </c>
      <c r="C458" s="0" t="s">
        <v>3851</v>
      </c>
      <c r="D458" s="0" t="s">
        <v>3852</v>
      </c>
      <c r="E458" s="0" t="s">
        <v>3853</v>
      </c>
      <c r="F458" s="0" t="s">
        <v>2621</v>
      </c>
      <c r="G458" s="0" t="s">
        <v>22</v>
      </c>
      <c r="H458" s="0" t="s">
        <v>22</v>
      </c>
      <c r="I458" s="0" t="s">
        <v>835</v>
      </c>
    </row>
    <row customHeight="1" ht="11.25">
      <c r="A459" s="1854" t="s">
        <v>2291</v>
      </c>
      <c r="B459" s="1854" t="s">
        <v>16</v>
      </c>
      <c r="C459" s="0" t="s">
        <v>3854</v>
      </c>
      <c r="D459" s="0" t="s">
        <v>3855</v>
      </c>
      <c r="E459" s="0" t="s">
        <v>3856</v>
      </c>
      <c r="F459" s="0" t="s">
        <v>2405</v>
      </c>
      <c r="G459" s="0" t="s">
        <v>22</v>
      </c>
      <c r="H459" s="0" t="s">
        <v>22</v>
      </c>
      <c r="I459" s="0" t="s">
        <v>835</v>
      </c>
    </row>
    <row customHeight="1" ht="11.25">
      <c r="A460" s="1854" t="s">
        <v>2291</v>
      </c>
      <c r="B460" s="1854" t="s">
        <v>16</v>
      </c>
      <c r="C460" s="0" t="s">
        <v>3857</v>
      </c>
      <c r="D460" s="0" t="s">
        <v>3858</v>
      </c>
      <c r="E460" s="0" t="s">
        <v>3859</v>
      </c>
      <c r="F460" s="0" t="s">
        <v>2405</v>
      </c>
      <c r="G460" s="0" t="s">
        <v>3860</v>
      </c>
      <c r="H460" s="0" t="s">
        <v>22</v>
      </c>
      <c r="I460" s="0" t="s">
        <v>835</v>
      </c>
    </row>
    <row customHeight="1" ht="11.25">
      <c r="A461" s="1854" t="s">
        <v>2291</v>
      </c>
      <c r="B461" s="1854" t="s">
        <v>16</v>
      </c>
      <c r="C461" s="0" t="s">
        <v>3861</v>
      </c>
      <c r="D461" s="0" t="s">
        <v>3862</v>
      </c>
      <c r="E461" s="0" t="s">
        <v>3863</v>
      </c>
      <c r="F461" s="0" t="s">
        <v>2405</v>
      </c>
      <c r="G461" s="0" t="s">
        <v>22</v>
      </c>
      <c r="H461" s="0" t="s">
        <v>22</v>
      </c>
      <c r="I461" s="0" t="s">
        <v>835</v>
      </c>
    </row>
    <row customHeight="1" ht="11.25">
      <c r="A462" s="1854" t="s">
        <v>2291</v>
      </c>
      <c r="B462" s="1854" t="s">
        <v>16</v>
      </c>
      <c r="C462" s="0" t="s">
        <v>3864</v>
      </c>
      <c r="D462" s="0" t="s">
        <v>3865</v>
      </c>
      <c r="E462" s="0" t="s">
        <v>3866</v>
      </c>
      <c r="F462" s="0" t="s">
        <v>2313</v>
      </c>
      <c r="G462" s="0" t="s">
        <v>22</v>
      </c>
      <c r="H462" s="0" t="s">
        <v>22</v>
      </c>
      <c r="I462" s="0" t="s">
        <v>835</v>
      </c>
    </row>
    <row customHeight="1" ht="11.25">
      <c r="A463" s="1854" t="s">
        <v>2291</v>
      </c>
      <c r="B463" s="1854" t="s">
        <v>16</v>
      </c>
      <c r="C463" s="0" t="s">
        <v>3867</v>
      </c>
      <c r="D463" s="0" t="s">
        <v>3868</v>
      </c>
      <c r="E463" s="0" t="s">
        <v>3869</v>
      </c>
      <c r="F463" s="0" t="s">
        <v>2416</v>
      </c>
      <c r="G463" s="0" t="s">
        <v>22</v>
      </c>
      <c r="H463" s="0" t="s">
        <v>22</v>
      </c>
      <c r="I463" s="0" t="s">
        <v>835</v>
      </c>
    </row>
    <row customHeight="1" ht="11.25">
      <c r="A464" s="1854" t="s">
        <v>2291</v>
      </c>
      <c r="B464" s="1854" t="s">
        <v>16</v>
      </c>
      <c r="C464" s="0" t="s">
        <v>3870</v>
      </c>
      <c r="D464" s="0" t="s">
        <v>3871</v>
      </c>
      <c r="E464" s="0" t="s">
        <v>3872</v>
      </c>
      <c r="F464" s="0" t="s">
        <v>2830</v>
      </c>
      <c r="G464" s="0" t="s">
        <v>3873</v>
      </c>
      <c r="H464" s="0" t="s">
        <v>22</v>
      </c>
      <c r="I464" s="0" t="s">
        <v>835</v>
      </c>
    </row>
    <row customHeight="1" ht="11.25">
      <c r="A465" s="1854" t="s">
        <v>2291</v>
      </c>
      <c r="B465" s="1854" t="s">
        <v>16</v>
      </c>
      <c r="C465" s="0" t="s">
        <v>3874</v>
      </c>
      <c r="D465" s="0" t="s">
        <v>3875</v>
      </c>
      <c r="E465" s="0" t="s">
        <v>3876</v>
      </c>
      <c r="F465" s="0" t="s">
        <v>2393</v>
      </c>
      <c r="G465" s="0" t="s">
        <v>22</v>
      </c>
      <c r="H465" s="0" t="s">
        <v>22</v>
      </c>
      <c r="I465" s="0" t="s">
        <v>835</v>
      </c>
    </row>
    <row customHeight="1" ht="11.25">
      <c r="A466" s="1854" t="s">
        <v>2291</v>
      </c>
      <c r="B466" s="1854" t="s">
        <v>16</v>
      </c>
      <c r="C466" s="0" t="s">
        <v>3877</v>
      </c>
      <c r="D466" s="0" t="s">
        <v>3878</v>
      </c>
      <c r="E466" s="0" t="s">
        <v>3879</v>
      </c>
      <c r="F466" s="0" t="s">
        <v>51</v>
      </c>
      <c r="G466" s="0" t="s">
        <v>3880</v>
      </c>
      <c r="H466" s="0" t="s">
        <v>22</v>
      </c>
      <c r="I466" s="0" t="s">
        <v>835</v>
      </c>
    </row>
    <row customHeight="1" ht="11.25">
      <c r="A467" s="1854" t="s">
        <v>2291</v>
      </c>
      <c r="B467" s="1854" t="s">
        <v>16</v>
      </c>
      <c r="C467" s="0" t="s">
        <v>3881</v>
      </c>
      <c r="D467" s="0" t="s">
        <v>3882</v>
      </c>
      <c r="E467" s="0" t="s">
        <v>3883</v>
      </c>
      <c r="F467" s="0" t="s">
        <v>2632</v>
      </c>
      <c r="G467" s="0" t="s">
        <v>3884</v>
      </c>
      <c r="H467" s="0" t="s">
        <v>22</v>
      </c>
      <c r="I467" s="0" t="s">
        <v>835</v>
      </c>
    </row>
    <row customHeight="1" ht="11.25">
      <c r="A468" s="1854" t="s">
        <v>2291</v>
      </c>
      <c r="B468" s="1854" t="s">
        <v>16</v>
      </c>
      <c r="C468" s="0" t="s">
        <v>3885</v>
      </c>
      <c r="D468" s="0" t="s">
        <v>3886</v>
      </c>
      <c r="E468" s="0" t="s">
        <v>3887</v>
      </c>
      <c r="F468" s="0" t="s">
        <v>2389</v>
      </c>
      <c r="G468" s="0" t="s">
        <v>3888</v>
      </c>
      <c r="H468" s="0" t="s">
        <v>22</v>
      </c>
      <c r="I468" s="0" t="s">
        <v>835</v>
      </c>
    </row>
    <row customHeight="1" ht="11.25">
      <c r="A469" s="1854" t="s">
        <v>2291</v>
      </c>
      <c r="B469" s="1854" t="s">
        <v>16</v>
      </c>
      <c r="C469" s="0" t="s">
        <v>3889</v>
      </c>
      <c r="D469" s="0" t="s">
        <v>3890</v>
      </c>
      <c r="E469" s="0" t="s">
        <v>3891</v>
      </c>
      <c r="F469" s="0" t="s">
        <v>2405</v>
      </c>
      <c r="G469" s="0" t="s">
        <v>3892</v>
      </c>
      <c r="H469" s="0" t="s">
        <v>22</v>
      </c>
      <c r="I469" s="0" t="s">
        <v>835</v>
      </c>
    </row>
    <row customHeight="1" ht="11.25">
      <c r="A470" s="1854" t="s">
        <v>2291</v>
      </c>
      <c r="B470" s="1854" t="s">
        <v>16</v>
      </c>
      <c r="C470" s="0" t="s">
        <v>3893</v>
      </c>
      <c r="D470" s="0" t="s">
        <v>3894</v>
      </c>
      <c r="E470" s="0" t="s">
        <v>3895</v>
      </c>
      <c r="F470" s="0" t="s">
        <v>2359</v>
      </c>
      <c r="G470" s="0" t="s">
        <v>22</v>
      </c>
      <c r="H470" s="0" t="s">
        <v>22</v>
      </c>
      <c r="I470" s="0" t="s">
        <v>835</v>
      </c>
    </row>
    <row customHeight="1" ht="11.25">
      <c r="A471" s="1854" t="s">
        <v>2291</v>
      </c>
      <c r="B471" s="1854" t="s">
        <v>16</v>
      </c>
      <c r="C471" s="0" t="s">
        <v>3896</v>
      </c>
      <c r="D471" s="0" t="s">
        <v>3897</v>
      </c>
      <c r="E471" s="0" t="s">
        <v>3898</v>
      </c>
      <c r="F471" s="0" t="s">
        <v>2389</v>
      </c>
      <c r="G471" s="0" t="s">
        <v>3899</v>
      </c>
      <c r="H471" s="0" t="s">
        <v>22</v>
      </c>
      <c r="I471" s="0" t="s">
        <v>835</v>
      </c>
    </row>
    <row customHeight="1" ht="11.25">
      <c r="A472" s="1854" t="s">
        <v>2291</v>
      </c>
      <c r="B472" s="1854" t="s">
        <v>16</v>
      </c>
      <c r="C472" s="0" t="s">
        <v>3900</v>
      </c>
      <c r="D472" s="0" t="s">
        <v>3901</v>
      </c>
      <c r="E472" s="0" t="s">
        <v>3902</v>
      </c>
      <c r="F472" s="0" t="s">
        <v>3903</v>
      </c>
      <c r="G472" s="0" t="s">
        <v>22</v>
      </c>
      <c r="H472" s="0" t="s">
        <v>22</v>
      </c>
      <c r="I472" s="0" t="s">
        <v>835</v>
      </c>
    </row>
    <row customHeight="1" ht="11.25">
      <c r="A473" s="1854" t="s">
        <v>2291</v>
      </c>
      <c r="B473" s="1854" t="s">
        <v>16</v>
      </c>
      <c r="C473" s="0" t="s">
        <v>3904</v>
      </c>
      <c r="D473" s="0" t="s">
        <v>3905</v>
      </c>
      <c r="E473" s="0" t="s">
        <v>3906</v>
      </c>
      <c r="F473" s="0" t="s">
        <v>3277</v>
      </c>
      <c r="G473" s="0" t="s">
        <v>22</v>
      </c>
      <c r="H473" s="0" t="s">
        <v>22</v>
      </c>
      <c r="I473" s="0" t="s">
        <v>835</v>
      </c>
    </row>
    <row customHeight="1" ht="11.25">
      <c r="A474" s="1854" t="s">
        <v>2291</v>
      </c>
      <c r="B474" s="1854" t="s">
        <v>16</v>
      </c>
      <c r="C474" s="0" t="s">
        <v>3907</v>
      </c>
      <c r="D474" s="0" t="s">
        <v>3908</v>
      </c>
      <c r="E474" s="0" t="s">
        <v>3909</v>
      </c>
      <c r="F474" s="0" t="s">
        <v>2389</v>
      </c>
      <c r="G474" s="0" t="s">
        <v>22</v>
      </c>
      <c r="H474" s="0" t="s">
        <v>22</v>
      </c>
      <c r="I474" s="0" t="s">
        <v>835</v>
      </c>
    </row>
    <row customHeight="1" ht="11.25">
      <c r="A475" s="1854" t="s">
        <v>2291</v>
      </c>
      <c r="B475" s="1854" t="s">
        <v>16</v>
      </c>
      <c r="C475" s="0" t="s">
        <v>3910</v>
      </c>
      <c r="D475" s="0" t="s">
        <v>3911</v>
      </c>
      <c r="E475" s="0" t="s">
        <v>3912</v>
      </c>
      <c r="F475" s="0" t="s">
        <v>2401</v>
      </c>
      <c r="G475" s="0" t="s">
        <v>22</v>
      </c>
      <c r="H475" s="0" t="s">
        <v>22</v>
      </c>
      <c r="I475" s="0" t="s">
        <v>835</v>
      </c>
    </row>
    <row customHeight="1" ht="11.25">
      <c r="A476" s="1854" t="s">
        <v>2291</v>
      </c>
      <c r="B476" s="1854" t="s">
        <v>16</v>
      </c>
      <c r="C476" s="0" t="s">
        <v>3913</v>
      </c>
      <c r="D476" s="0" t="s">
        <v>3914</v>
      </c>
      <c r="E476" s="0" t="s">
        <v>3915</v>
      </c>
      <c r="F476" s="0" t="s">
        <v>2351</v>
      </c>
      <c r="G476" s="0" t="s">
        <v>3916</v>
      </c>
      <c r="H476" s="0" t="s">
        <v>22</v>
      </c>
      <c r="I476" s="0" t="s">
        <v>835</v>
      </c>
    </row>
    <row customHeight="1" ht="11.25">
      <c r="A477" s="1854" t="s">
        <v>2291</v>
      </c>
      <c r="B477" s="1854" t="s">
        <v>16</v>
      </c>
      <c r="C477" s="0" t="s">
        <v>3917</v>
      </c>
      <c r="D477" s="0" t="s">
        <v>3918</v>
      </c>
      <c r="E477" s="0" t="s">
        <v>3919</v>
      </c>
      <c r="F477" s="0" t="s">
        <v>2640</v>
      </c>
      <c r="G477" s="0" t="s">
        <v>3920</v>
      </c>
      <c r="H477" s="0" t="s">
        <v>22</v>
      </c>
      <c r="I477" s="0" t="s">
        <v>835</v>
      </c>
    </row>
    <row customHeight="1" ht="11.25">
      <c r="A478" s="1854" t="s">
        <v>2291</v>
      </c>
      <c r="B478" s="1854" t="s">
        <v>16</v>
      </c>
      <c r="C478" s="0" t="s">
        <v>3921</v>
      </c>
      <c r="D478" s="0" t="s">
        <v>3922</v>
      </c>
      <c r="E478" s="0" t="s">
        <v>3923</v>
      </c>
      <c r="F478" s="0" t="s">
        <v>2632</v>
      </c>
      <c r="G478" s="0" t="s">
        <v>22</v>
      </c>
      <c r="H478" s="0" t="s">
        <v>22</v>
      </c>
      <c r="I478" s="0" t="s">
        <v>835</v>
      </c>
    </row>
    <row customHeight="1" ht="11.25">
      <c r="A479" s="1854" t="s">
        <v>2291</v>
      </c>
      <c r="B479" s="1854" t="s">
        <v>16</v>
      </c>
      <c r="C479" s="0" t="s">
        <v>3924</v>
      </c>
      <c r="D479" s="0" t="s">
        <v>3925</v>
      </c>
      <c r="E479" s="0" t="s">
        <v>3926</v>
      </c>
      <c r="F479" s="0" t="s">
        <v>2393</v>
      </c>
      <c r="G479" s="0" t="s">
        <v>3927</v>
      </c>
      <c r="H479" s="0" t="s">
        <v>22</v>
      </c>
      <c r="I479" s="0" t="s">
        <v>835</v>
      </c>
    </row>
    <row customHeight="1" ht="11.25">
      <c r="A480" s="1854" t="s">
        <v>2291</v>
      </c>
      <c r="B480" s="1854" t="s">
        <v>16</v>
      </c>
      <c r="C480" s="0" t="s">
        <v>3928</v>
      </c>
      <c r="D480" s="0" t="s">
        <v>3929</v>
      </c>
      <c r="E480" s="0" t="s">
        <v>3930</v>
      </c>
      <c r="F480" s="0" t="s">
        <v>2389</v>
      </c>
      <c r="G480" s="0" t="s">
        <v>3931</v>
      </c>
      <c r="H480" s="0" t="s">
        <v>22</v>
      </c>
      <c r="I480" s="0" t="s">
        <v>835</v>
      </c>
    </row>
    <row customHeight="1" ht="11.25">
      <c r="A481" s="1854" t="s">
        <v>2291</v>
      </c>
      <c r="B481" s="1854" t="s">
        <v>16</v>
      </c>
      <c r="C481" s="0" t="s">
        <v>3932</v>
      </c>
      <c r="D481" s="0" t="s">
        <v>3933</v>
      </c>
      <c r="E481" s="0" t="s">
        <v>3934</v>
      </c>
      <c r="F481" s="0" t="s">
        <v>3935</v>
      </c>
      <c r="G481" s="0" t="s">
        <v>3936</v>
      </c>
      <c r="H481" s="0" t="s">
        <v>22</v>
      </c>
      <c r="I481" s="0" t="s">
        <v>835</v>
      </c>
    </row>
    <row customHeight="1" ht="11.25">
      <c r="A482" s="1854" t="s">
        <v>2291</v>
      </c>
      <c r="B482" s="1854" t="s">
        <v>16</v>
      </c>
      <c r="C482" s="0" t="s">
        <v>3937</v>
      </c>
      <c r="D482" s="0" t="s">
        <v>3938</v>
      </c>
      <c r="E482" s="0" t="s">
        <v>3939</v>
      </c>
      <c r="F482" s="0" t="s">
        <v>2359</v>
      </c>
      <c r="G482" s="0" t="s">
        <v>22</v>
      </c>
      <c r="H482" s="0" t="s">
        <v>22</v>
      </c>
      <c r="I482" s="0" t="s">
        <v>835</v>
      </c>
    </row>
    <row customHeight="1" ht="11.25">
      <c r="A483" s="1854" t="s">
        <v>2291</v>
      </c>
      <c r="B483" s="1854" t="s">
        <v>16</v>
      </c>
      <c r="C483" s="0" t="s">
        <v>3940</v>
      </c>
      <c r="D483" s="0" t="s">
        <v>3941</v>
      </c>
      <c r="E483" s="0" t="s">
        <v>3942</v>
      </c>
      <c r="F483" s="0" t="s">
        <v>2750</v>
      </c>
      <c r="G483" s="0" t="s">
        <v>22</v>
      </c>
      <c r="H483" s="0" t="s">
        <v>22</v>
      </c>
      <c r="I483" s="0" t="s">
        <v>835</v>
      </c>
    </row>
    <row customHeight="1" ht="11.25">
      <c r="A484" s="1854" t="s">
        <v>2291</v>
      </c>
      <c r="B484" s="1854" t="s">
        <v>16</v>
      </c>
      <c r="C484" s="0" t="s">
        <v>3943</v>
      </c>
      <c r="D484" s="0" t="s">
        <v>3944</v>
      </c>
      <c r="E484" s="0" t="s">
        <v>3945</v>
      </c>
      <c r="F484" s="0" t="s">
        <v>3017</v>
      </c>
      <c r="G484" s="0" t="s">
        <v>22</v>
      </c>
      <c r="H484" s="0" t="s">
        <v>22</v>
      </c>
      <c r="I484" s="0" t="s">
        <v>835</v>
      </c>
    </row>
    <row customHeight="1" ht="11.25">
      <c r="A485" s="1854" t="s">
        <v>2291</v>
      </c>
      <c r="B485" s="1854" t="s">
        <v>16</v>
      </c>
      <c r="C485" s="0" t="s">
        <v>3946</v>
      </c>
      <c r="D485" s="0" t="s">
        <v>3947</v>
      </c>
      <c r="E485" s="0" t="s">
        <v>3948</v>
      </c>
      <c r="F485" s="0" t="s">
        <v>2401</v>
      </c>
      <c r="G485" s="0" t="s">
        <v>22</v>
      </c>
      <c r="H485" s="0" t="s">
        <v>22</v>
      </c>
      <c r="I485" s="0" t="s">
        <v>835</v>
      </c>
    </row>
    <row customHeight="1" ht="11.25">
      <c r="A486" s="1854" t="s">
        <v>2291</v>
      </c>
      <c r="B486" s="1854" t="s">
        <v>16</v>
      </c>
      <c r="C486" s="0" t="s">
        <v>3949</v>
      </c>
      <c r="D486" s="0" t="s">
        <v>3950</v>
      </c>
      <c r="E486" s="0" t="s">
        <v>3951</v>
      </c>
      <c r="F486" s="0" t="s">
        <v>2389</v>
      </c>
      <c r="G486" s="0" t="s">
        <v>3952</v>
      </c>
      <c r="H486" s="0" t="s">
        <v>3953</v>
      </c>
      <c r="I486" s="0" t="s">
        <v>835</v>
      </c>
    </row>
    <row customHeight="1" ht="11.25">
      <c r="A487" s="1854" t="s">
        <v>2291</v>
      </c>
      <c r="B487" s="1854" t="s">
        <v>16</v>
      </c>
      <c r="C487" s="0" t="s">
        <v>3954</v>
      </c>
      <c r="D487" s="0" t="s">
        <v>3955</v>
      </c>
      <c r="E487" s="0" t="s">
        <v>3956</v>
      </c>
      <c r="F487" s="0" t="s">
        <v>2401</v>
      </c>
      <c r="G487" s="0" t="s">
        <v>3806</v>
      </c>
      <c r="H487" s="0" t="s">
        <v>22</v>
      </c>
      <c r="I487" s="0" t="s">
        <v>835</v>
      </c>
    </row>
    <row customHeight="1" ht="11.25">
      <c r="A488" s="1854" t="s">
        <v>2291</v>
      </c>
      <c r="B488" s="1854" t="s">
        <v>16</v>
      </c>
      <c r="C488" s="0" t="s">
        <v>3957</v>
      </c>
      <c r="D488" s="0" t="s">
        <v>3958</v>
      </c>
      <c r="E488" s="0" t="s">
        <v>3959</v>
      </c>
      <c r="F488" s="0" t="s">
        <v>2401</v>
      </c>
      <c r="G488" s="0" t="s">
        <v>3960</v>
      </c>
      <c r="H488" s="0" t="s">
        <v>22</v>
      </c>
      <c r="I488" s="0" t="s">
        <v>835</v>
      </c>
    </row>
    <row customHeight="1" ht="11.25">
      <c r="A489" s="1854" t="s">
        <v>2291</v>
      </c>
      <c r="B489" s="1854" t="s">
        <v>16</v>
      </c>
      <c r="C489" s="0" t="s">
        <v>3961</v>
      </c>
      <c r="D489" s="0" t="s">
        <v>3962</v>
      </c>
      <c r="E489" s="0" t="s">
        <v>3963</v>
      </c>
      <c r="F489" s="0" t="s">
        <v>2405</v>
      </c>
      <c r="G489" s="0" t="s">
        <v>22</v>
      </c>
      <c r="H489" s="0" t="s">
        <v>22</v>
      </c>
      <c r="I489" s="0" t="s">
        <v>835</v>
      </c>
    </row>
    <row customHeight="1" ht="11.25">
      <c r="A490" s="1854" t="s">
        <v>2291</v>
      </c>
      <c r="B490" s="1854" t="s">
        <v>16</v>
      </c>
      <c r="C490" s="0" t="s">
        <v>3964</v>
      </c>
      <c r="D490" s="0" t="s">
        <v>3965</v>
      </c>
      <c r="E490" s="0" t="s">
        <v>3966</v>
      </c>
      <c r="F490" s="0" t="s">
        <v>2389</v>
      </c>
      <c r="G490" s="0" t="s">
        <v>22</v>
      </c>
      <c r="H490" s="0" t="s">
        <v>22</v>
      </c>
      <c r="I490" s="0" t="s">
        <v>835</v>
      </c>
    </row>
    <row customHeight="1" ht="11.25">
      <c r="A491" s="1854" t="s">
        <v>2291</v>
      </c>
      <c r="B491" s="1854" t="s">
        <v>16</v>
      </c>
      <c r="C491" s="0" t="s">
        <v>3967</v>
      </c>
      <c r="D491" s="0" t="s">
        <v>3968</v>
      </c>
      <c r="E491" s="0" t="s">
        <v>3969</v>
      </c>
      <c r="F491" s="0" t="s">
        <v>2295</v>
      </c>
      <c r="G491" s="0" t="s">
        <v>22</v>
      </c>
      <c r="H491" s="0" t="s">
        <v>22</v>
      </c>
      <c r="I491" s="0" t="s">
        <v>835</v>
      </c>
    </row>
    <row customHeight="1" ht="11.25">
      <c r="A492" s="1854" t="s">
        <v>2291</v>
      </c>
      <c r="B492" s="1854" t="s">
        <v>16</v>
      </c>
      <c r="C492" s="0" t="s">
        <v>3970</v>
      </c>
      <c r="D492" s="0" t="s">
        <v>3971</v>
      </c>
      <c r="E492" s="0" t="s">
        <v>3972</v>
      </c>
      <c r="F492" s="0" t="s">
        <v>2389</v>
      </c>
      <c r="G492" s="0" t="s">
        <v>3973</v>
      </c>
      <c r="H492" s="0" t="s">
        <v>3974</v>
      </c>
      <c r="I492" s="0" t="s">
        <v>835</v>
      </c>
    </row>
    <row customHeight="1" ht="11.25">
      <c r="A493" s="1854" t="s">
        <v>2291</v>
      </c>
      <c r="B493" s="1854" t="s">
        <v>16</v>
      </c>
      <c r="C493" s="0" t="s">
        <v>3975</v>
      </c>
      <c r="D493" s="0" t="s">
        <v>3976</v>
      </c>
      <c r="E493" s="0" t="s">
        <v>3977</v>
      </c>
      <c r="F493" s="0" t="s">
        <v>2393</v>
      </c>
      <c r="G493" s="0" t="s">
        <v>3978</v>
      </c>
      <c r="H493" s="0" t="s">
        <v>22</v>
      </c>
      <c r="I493" s="0" t="s">
        <v>835</v>
      </c>
    </row>
    <row customHeight="1" ht="11.25">
      <c r="A494" s="1854" t="s">
        <v>2291</v>
      </c>
      <c r="B494" s="1854" t="s">
        <v>16</v>
      </c>
      <c r="C494" s="0" t="s">
        <v>3979</v>
      </c>
      <c r="D494" s="0" t="s">
        <v>3980</v>
      </c>
      <c r="E494" s="0" t="s">
        <v>3981</v>
      </c>
      <c r="F494" s="0" t="s">
        <v>2393</v>
      </c>
      <c r="G494" s="0" t="s">
        <v>22</v>
      </c>
      <c r="H494" s="0" t="s">
        <v>22</v>
      </c>
      <c r="I494" s="0" t="s">
        <v>835</v>
      </c>
    </row>
    <row customHeight="1" ht="11.25">
      <c r="A495" s="1854" t="s">
        <v>2291</v>
      </c>
      <c r="B495" s="1854" t="s">
        <v>16</v>
      </c>
      <c r="C495" s="0" t="s">
        <v>3982</v>
      </c>
      <c r="D495" s="0" t="s">
        <v>3983</v>
      </c>
      <c r="E495" s="0" t="s">
        <v>3984</v>
      </c>
      <c r="F495" s="0" t="s">
        <v>2632</v>
      </c>
      <c r="G495" s="0" t="s">
        <v>3985</v>
      </c>
      <c r="H495" s="0" t="s">
        <v>22</v>
      </c>
      <c r="I495" s="0" t="s">
        <v>835</v>
      </c>
    </row>
    <row customHeight="1" ht="11.25">
      <c r="A496" s="1854" t="s">
        <v>2291</v>
      </c>
      <c r="B496" s="1854" t="s">
        <v>16</v>
      </c>
      <c r="C496" s="0" t="s">
        <v>3986</v>
      </c>
      <c r="D496" s="0" t="s">
        <v>3987</v>
      </c>
      <c r="E496" s="0" t="s">
        <v>3988</v>
      </c>
      <c r="F496" s="0" t="s">
        <v>2359</v>
      </c>
      <c r="G496" s="0" t="s">
        <v>22</v>
      </c>
      <c r="H496" s="0" t="s">
        <v>22</v>
      </c>
      <c r="I496" s="0" t="s">
        <v>835</v>
      </c>
    </row>
    <row customHeight="1" ht="11.25">
      <c r="A497" s="1854" t="s">
        <v>2291</v>
      </c>
      <c r="B497" s="1854" t="s">
        <v>16</v>
      </c>
      <c r="C497" s="0" t="s">
        <v>3989</v>
      </c>
      <c r="D497" s="0" t="s">
        <v>3990</v>
      </c>
      <c r="E497" s="0" t="s">
        <v>3991</v>
      </c>
      <c r="F497" s="0" t="s">
        <v>2295</v>
      </c>
      <c r="G497" s="0" t="s">
        <v>22</v>
      </c>
      <c r="H497" s="0" t="s">
        <v>22</v>
      </c>
      <c r="I497" s="0" t="s">
        <v>835</v>
      </c>
    </row>
    <row customHeight="1" ht="11.25">
      <c r="A498" s="1854" t="s">
        <v>2291</v>
      </c>
      <c r="B498" s="1854" t="s">
        <v>16</v>
      </c>
      <c r="C498" s="0" t="s">
        <v>3992</v>
      </c>
      <c r="D498" s="0" t="s">
        <v>3993</v>
      </c>
      <c r="E498" s="0" t="s">
        <v>3994</v>
      </c>
      <c r="F498" s="0" t="s">
        <v>2401</v>
      </c>
      <c r="G498" s="0" t="s">
        <v>22</v>
      </c>
      <c r="H498" s="0" t="s">
        <v>22</v>
      </c>
      <c r="I498" s="0" t="s">
        <v>835</v>
      </c>
    </row>
    <row customHeight="1" ht="11.25">
      <c r="A499" s="1854" t="s">
        <v>2291</v>
      </c>
      <c r="B499" s="1854" t="s">
        <v>16</v>
      </c>
      <c r="C499" s="0" t="s">
        <v>3995</v>
      </c>
      <c r="D499" s="0" t="s">
        <v>3996</v>
      </c>
      <c r="E499" s="0" t="s">
        <v>3997</v>
      </c>
      <c r="F499" s="0" t="s">
        <v>3998</v>
      </c>
      <c r="G499" s="0" t="s">
        <v>3999</v>
      </c>
      <c r="H499" s="0" t="s">
        <v>22</v>
      </c>
      <c r="I499" s="0" t="s">
        <v>835</v>
      </c>
    </row>
    <row customHeight="1" ht="11.25">
      <c r="A500" s="1854" t="s">
        <v>2291</v>
      </c>
      <c r="B500" s="1854" t="s">
        <v>16</v>
      </c>
      <c r="C500" s="0" t="s">
        <v>4000</v>
      </c>
      <c r="D500" s="0" t="s">
        <v>4001</v>
      </c>
      <c r="E500" s="0" t="s">
        <v>4002</v>
      </c>
      <c r="F500" s="0" t="s">
        <v>2359</v>
      </c>
      <c r="G500" s="0" t="s">
        <v>22</v>
      </c>
      <c r="H500" s="0" t="s">
        <v>22</v>
      </c>
      <c r="I500" s="0" t="s">
        <v>835</v>
      </c>
    </row>
    <row customHeight="1" ht="11.25">
      <c r="A501" s="1854" t="s">
        <v>2291</v>
      </c>
      <c r="B501" s="1854" t="s">
        <v>16</v>
      </c>
      <c r="C501" s="0" t="s">
        <v>4003</v>
      </c>
      <c r="D501" s="0" t="s">
        <v>4004</v>
      </c>
      <c r="E501" s="0" t="s">
        <v>4005</v>
      </c>
      <c r="F501" s="0" t="s">
        <v>2640</v>
      </c>
      <c r="G501" s="0" t="s">
        <v>22</v>
      </c>
      <c r="H501" s="0" t="s">
        <v>22</v>
      </c>
      <c r="I501" s="0" t="s">
        <v>835</v>
      </c>
    </row>
    <row customHeight="1" ht="11.25">
      <c r="A502" s="1854" t="s">
        <v>2291</v>
      </c>
      <c r="B502" s="1854" t="s">
        <v>16</v>
      </c>
      <c r="C502" s="0" t="s">
        <v>4006</v>
      </c>
      <c r="D502" s="0" t="s">
        <v>4007</v>
      </c>
      <c r="E502" s="0" t="s">
        <v>4008</v>
      </c>
      <c r="F502" s="0" t="s">
        <v>4009</v>
      </c>
      <c r="G502" s="0" t="s">
        <v>22</v>
      </c>
      <c r="H502" s="0" t="s">
        <v>22</v>
      </c>
      <c r="I502" s="0" t="s">
        <v>835</v>
      </c>
    </row>
    <row customHeight="1" ht="11.25">
      <c r="A503" s="1854" t="s">
        <v>2291</v>
      </c>
      <c r="B503" s="1854" t="s">
        <v>16</v>
      </c>
      <c r="C503" s="0" t="s">
        <v>4010</v>
      </c>
      <c r="D503" s="0" t="s">
        <v>4011</v>
      </c>
      <c r="E503" s="0" t="s">
        <v>4012</v>
      </c>
      <c r="F503" s="0" t="s">
        <v>2359</v>
      </c>
      <c r="G503" s="0" t="s">
        <v>4013</v>
      </c>
      <c r="H503" s="0" t="s">
        <v>4014</v>
      </c>
      <c r="I503" s="0" t="s">
        <v>835</v>
      </c>
    </row>
    <row customHeight="1" ht="11.25">
      <c r="A504" s="1854" t="s">
        <v>2291</v>
      </c>
      <c r="B504" s="1854" t="s">
        <v>16</v>
      </c>
      <c r="C504" s="0" t="s">
        <v>4015</v>
      </c>
      <c r="D504" s="0" t="s">
        <v>4016</v>
      </c>
      <c r="E504" s="0" t="s">
        <v>4017</v>
      </c>
      <c r="F504" s="0" t="s">
        <v>51</v>
      </c>
      <c r="G504" s="0" t="s">
        <v>22</v>
      </c>
      <c r="H504" s="0" t="s">
        <v>22</v>
      </c>
      <c r="I504" s="0" t="s">
        <v>835</v>
      </c>
    </row>
    <row customHeight="1" ht="11.25">
      <c r="A505" s="1854" t="s">
        <v>2291</v>
      </c>
      <c r="B505" s="1854" t="s">
        <v>16</v>
      </c>
      <c r="C505" s="0" t="s">
        <v>4018</v>
      </c>
      <c r="D505" s="0" t="s">
        <v>4019</v>
      </c>
      <c r="E505" s="0" t="s">
        <v>4020</v>
      </c>
      <c r="F505" s="0" t="s">
        <v>2405</v>
      </c>
      <c r="G505" s="0" t="s">
        <v>22</v>
      </c>
      <c r="H505" s="0" t="s">
        <v>22</v>
      </c>
      <c r="I505" s="0" t="s">
        <v>835</v>
      </c>
    </row>
    <row customHeight="1" ht="11.25">
      <c r="A506" s="1854" t="s">
        <v>2291</v>
      </c>
      <c r="B506" s="1854" t="s">
        <v>16</v>
      </c>
      <c r="C506" s="0" t="s">
        <v>4021</v>
      </c>
      <c r="D506" s="0" t="s">
        <v>4022</v>
      </c>
      <c r="E506" s="0" t="s">
        <v>4023</v>
      </c>
      <c r="F506" s="0" t="s">
        <v>2295</v>
      </c>
      <c r="G506" s="0" t="s">
        <v>4024</v>
      </c>
      <c r="H506" s="0" t="s">
        <v>22</v>
      </c>
      <c r="I506" s="0" t="s">
        <v>835</v>
      </c>
    </row>
    <row customHeight="1" ht="11.25">
      <c r="A507" s="1854" t="s">
        <v>2291</v>
      </c>
      <c r="B507" s="1854" t="s">
        <v>16</v>
      </c>
      <c r="C507" s="0" t="s">
        <v>4025</v>
      </c>
      <c r="D507" s="0" t="s">
        <v>4026</v>
      </c>
      <c r="E507" s="0" t="s">
        <v>4027</v>
      </c>
      <c r="F507" s="0" t="s">
        <v>2393</v>
      </c>
      <c r="G507" s="0" t="s">
        <v>4028</v>
      </c>
      <c r="H507" s="0" t="s">
        <v>22</v>
      </c>
      <c r="I507" s="0" t="s">
        <v>835</v>
      </c>
    </row>
    <row customHeight="1" ht="11.25">
      <c r="A508" s="1854" t="s">
        <v>2291</v>
      </c>
      <c r="B508" s="1854" t="s">
        <v>16</v>
      </c>
      <c r="C508" s="0" t="s">
        <v>4029</v>
      </c>
      <c r="D508" s="0" t="s">
        <v>4030</v>
      </c>
      <c r="E508" s="0" t="s">
        <v>4031</v>
      </c>
      <c r="F508" s="0" t="s">
        <v>2401</v>
      </c>
      <c r="G508" s="0" t="s">
        <v>22</v>
      </c>
      <c r="H508" s="0" t="s">
        <v>22</v>
      </c>
      <c r="I508" s="0" t="s">
        <v>835</v>
      </c>
    </row>
    <row customHeight="1" ht="11.25">
      <c r="A509" s="1854" t="s">
        <v>2291</v>
      </c>
      <c r="B509" s="1854" t="s">
        <v>16</v>
      </c>
      <c r="C509" s="0" t="s">
        <v>4032</v>
      </c>
      <c r="D509" s="0" t="s">
        <v>4033</v>
      </c>
      <c r="E509" s="0" t="s">
        <v>4034</v>
      </c>
      <c r="F509" s="0" t="s">
        <v>2389</v>
      </c>
      <c r="G509" s="0" t="s">
        <v>22</v>
      </c>
      <c r="H509" s="0" t="s">
        <v>22</v>
      </c>
      <c r="I509" s="0" t="s">
        <v>835</v>
      </c>
    </row>
    <row customHeight="1" ht="11.25">
      <c r="A510" s="1854" t="s">
        <v>2291</v>
      </c>
      <c r="B510" s="1854" t="s">
        <v>16</v>
      </c>
      <c r="C510" s="0" t="s">
        <v>4035</v>
      </c>
      <c r="D510" s="0" t="s">
        <v>4036</v>
      </c>
      <c r="E510" s="0" t="s">
        <v>4037</v>
      </c>
      <c r="F510" s="0" t="s">
        <v>2401</v>
      </c>
      <c r="G510" s="0" t="s">
        <v>22</v>
      </c>
      <c r="H510" s="0" t="s">
        <v>22</v>
      </c>
      <c r="I510" s="0" t="s">
        <v>835</v>
      </c>
    </row>
    <row customHeight="1" ht="11.25">
      <c r="A511" s="1854" t="s">
        <v>2291</v>
      </c>
      <c r="B511" s="1854" t="s">
        <v>16</v>
      </c>
      <c r="C511" s="0" t="s">
        <v>4038</v>
      </c>
      <c r="D511" s="0" t="s">
        <v>4039</v>
      </c>
      <c r="E511" s="0" t="s">
        <v>4040</v>
      </c>
      <c r="F511" s="0" t="s">
        <v>2295</v>
      </c>
      <c r="G511" s="0" t="s">
        <v>22</v>
      </c>
      <c r="H511" s="0" t="s">
        <v>22</v>
      </c>
      <c r="I511" s="0" t="s">
        <v>835</v>
      </c>
    </row>
    <row customHeight="1" ht="11.25">
      <c r="A512" s="1854" t="s">
        <v>2291</v>
      </c>
      <c r="B512" s="1854" t="s">
        <v>16</v>
      </c>
      <c r="C512" s="0" t="s">
        <v>4041</v>
      </c>
      <c r="D512" s="0" t="s">
        <v>4042</v>
      </c>
      <c r="E512" s="0" t="s">
        <v>4043</v>
      </c>
      <c r="F512" s="0" t="s">
        <v>2784</v>
      </c>
      <c r="G512" s="0" t="s">
        <v>22</v>
      </c>
      <c r="H512" s="0" t="s">
        <v>22</v>
      </c>
      <c r="I512" s="0" t="s">
        <v>835</v>
      </c>
    </row>
    <row customHeight="1" ht="11.25">
      <c r="A513" s="1854" t="s">
        <v>2291</v>
      </c>
      <c r="B513" s="1854" t="s">
        <v>16</v>
      </c>
      <c r="C513" s="0" t="s">
        <v>4044</v>
      </c>
      <c r="D513" s="0" t="s">
        <v>4045</v>
      </c>
      <c r="E513" s="0" t="s">
        <v>4046</v>
      </c>
      <c r="F513" s="0" t="s">
        <v>2788</v>
      </c>
      <c r="G513" s="0" t="s">
        <v>22</v>
      </c>
      <c r="H513" s="0" t="s">
        <v>22</v>
      </c>
      <c r="I513" s="0" t="s">
        <v>835</v>
      </c>
    </row>
    <row customHeight="1" ht="11.25">
      <c r="A514" s="1854" t="s">
        <v>2291</v>
      </c>
      <c r="B514" s="1854" t="s">
        <v>16</v>
      </c>
      <c r="C514" s="0" t="s">
        <v>4047</v>
      </c>
      <c r="D514" s="0" t="s">
        <v>4048</v>
      </c>
      <c r="E514" s="0" t="s">
        <v>3522</v>
      </c>
      <c r="F514" s="0" t="s">
        <v>2401</v>
      </c>
      <c r="G514" s="0" t="s">
        <v>4049</v>
      </c>
      <c r="H514" s="0" t="s">
        <v>22</v>
      </c>
      <c r="I514" s="0" t="s">
        <v>835</v>
      </c>
    </row>
    <row customHeight="1" ht="11.25">
      <c r="A515" s="1854" t="s">
        <v>2291</v>
      </c>
      <c r="B515" s="1854" t="s">
        <v>16</v>
      </c>
      <c r="C515" s="0" t="s">
        <v>4050</v>
      </c>
      <c r="D515" s="0" t="s">
        <v>4051</v>
      </c>
      <c r="E515" s="0" t="s">
        <v>4052</v>
      </c>
      <c r="F515" s="0" t="s">
        <v>2401</v>
      </c>
      <c r="G515" s="0" t="s">
        <v>22</v>
      </c>
      <c r="H515" s="0" t="s">
        <v>22</v>
      </c>
      <c r="I515" s="0" t="s">
        <v>835</v>
      </c>
    </row>
    <row customHeight="1" ht="11.25">
      <c r="A516" s="1854" t="s">
        <v>2291</v>
      </c>
      <c r="B516" s="1854" t="s">
        <v>16</v>
      </c>
      <c r="C516" s="0" t="s">
        <v>4053</v>
      </c>
      <c r="D516" s="0" t="s">
        <v>4054</v>
      </c>
      <c r="E516" s="0" t="s">
        <v>4055</v>
      </c>
      <c r="F516" s="0" t="s">
        <v>2632</v>
      </c>
      <c r="G516" s="0" t="s">
        <v>22</v>
      </c>
      <c r="H516" s="0" t="s">
        <v>22</v>
      </c>
      <c r="I516" s="0" t="s">
        <v>835</v>
      </c>
    </row>
    <row customHeight="1" ht="11.25">
      <c r="A517" s="1854" t="s">
        <v>2291</v>
      </c>
      <c r="B517" s="1854" t="s">
        <v>16</v>
      </c>
      <c r="C517" s="0" t="s">
        <v>4056</v>
      </c>
      <c r="D517" s="0" t="s">
        <v>4057</v>
      </c>
      <c r="E517" s="0" t="s">
        <v>4058</v>
      </c>
      <c r="F517" s="0" t="s">
        <v>2401</v>
      </c>
      <c r="G517" s="0" t="s">
        <v>22</v>
      </c>
      <c r="H517" s="0" t="s">
        <v>22</v>
      </c>
      <c r="I517" s="0" t="s">
        <v>835</v>
      </c>
    </row>
    <row customHeight="1" ht="11.25">
      <c r="A518" s="1854" t="s">
        <v>2291</v>
      </c>
      <c r="B518" s="1854" t="s">
        <v>16</v>
      </c>
      <c r="C518" s="0" t="s">
        <v>4059</v>
      </c>
      <c r="D518" s="0" t="s">
        <v>4060</v>
      </c>
      <c r="E518" s="0" t="s">
        <v>4061</v>
      </c>
      <c r="F518" s="0" t="s">
        <v>2416</v>
      </c>
      <c r="G518" s="0" t="s">
        <v>22</v>
      </c>
      <c r="H518" s="0" t="s">
        <v>22</v>
      </c>
      <c r="I518" s="0" t="s">
        <v>835</v>
      </c>
    </row>
    <row customHeight="1" ht="11.25">
      <c r="A519" s="1854" t="s">
        <v>2291</v>
      </c>
      <c r="B519" s="1854" t="s">
        <v>16</v>
      </c>
      <c r="C519" s="0" t="s">
        <v>4062</v>
      </c>
      <c r="D519" s="0" t="s">
        <v>4063</v>
      </c>
      <c r="E519" s="0" t="s">
        <v>4064</v>
      </c>
      <c r="F519" s="0" t="s">
        <v>2420</v>
      </c>
      <c r="G519" s="0" t="s">
        <v>4065</v>
      </c>
      <c r="H519" s="0" t="s">
        <v>22</v>
      </c>
      <c r="I519" s="0" t="s">
        <v>835</v>
      </c>
    </row>
    <row customHeight="1" ht="11.25">
      <c r="A520" s="1854" t="s">
        <v>2291</v>
      </c>
      <c r="B520" s="1854" t="s">
        <v>16</v>
      </c>
      <c r="C520" s="0" t="s">
        <v>4066</v>
      </c>
      <c r="D520" s="0" t="s">
        <v>4067</v>
      </c>
      <c r="E520" s="0" t="s">
        <v>4068</v>
      </c>
      <c r="F520" s="0" t="s">
        <v>2420</v>
      </c>
      <c r="G520" s="0" t="s">
        <v>22</v>
      </c>
      <c r="H520" s="0" t="s">
        <v>22</v>
      </c>
      <c r="I520" s="0" t="s">
        <v>835</v>
      </c>
    </row>
    <row customHeight="1" ht="11.25">
      <c r="A521" s="1854" t="s">
        <v>2291</v>
      </c>
      <c r="B521" s="1854" t="s">
        <v>16</v>
      </c>
      <c r="C521" s="0" t="s">
        <v>4069</v>
      </c>
      <c r="D521" s="0" t="s">
        <v>4070</v>
      </c>
      <c r="E521" s="0" t="s">
        <v>4071</v>
      </c>
      <c r="F521" s="0" t="s">
        <v>4072</v>
      </c>
      <c r="G521" s="0" t="s">
        <v>4073</v>
      </c>
      <c r="H521" s="0" t="s">
        <v>22</v>
      </c>
      <c r="I521" s="0" t="s">
        <v>835</v>
      </c>
    </row>
    <row customHeight="1" ht="11.25">
      <c r="A522" s="1854" t="s">
        <v>2291</v>
      </c>
      <c r="B522" s="1854" t="s">
        <v>16</v>
      </c>
      <c r="C522" s="0" t="s">
        <v>4074</v>
      </c>
      <c r="D522" s="0" t="s">
        <v>4075</v>
      </c>
      <c r="E522" s="0" t="s">
        <v>4076</v>
      </c>
      <c r="F522" s="0" t="s">
        <v>4077</v>
      </c>
      <c r="G522" s="0" t="s">
        <v>22</v>
      </c>
      <c r="H522" s="0" t="s">
        <v>22</v>
      </c>
      <c r="I522" s="0" t="s">
        <v>835</v>
      </c>
    </row>
    <row customHeight="1" ht="11.25">
      <c r="A523" s="1854" t="s">
        <v>2291</v>
      </c>
      <c r="B523" s="1854" t="s">
        <v>16</v>
      </c>
      <c r="C523" s="0" t="s">
        <v>4078</v>
      </c>
      <c r="D523" s="0" t="s">
        <v>4079</v>
      </c>
      <c r="E523" s="0" t="s">
        <v>3660</v>
      </c>
      <c r="F523" s="0" t="s">
        <v>4080</v>
      </c>
      <c r="G523" s="0" t="s">
        <v>22</v>
      </c>
      <c r="H523" s="0" t="s">
        <v>22</v>
      </c>
      <c r="I523" s="0" t="s">
        <v>835</v>
      </c>
    </row>
    <row customHeight="1" ht="11.25">
      <c r="A524" s="1854" t="s">
        <v>2291</v>
      </c>
      <c r="B524" s="1854" t="s">
        <v>16</v>
      </c>
      <c r="C524" s="0" t="s">
        <v>4081</v>
      </c>
      <c r="D524" s="0" t="s">
        <v>4082</v>
      </c>
      <c r="E524" s="0" t="s">
        <v>4083</v>
      </c>
      <c r="F524" s="0" t="s">
        <v>2377</v>
      </c>
      <c r="G524" s="0" t="s">
        <v>4084</v>
      </c>
      <c r="H524" s="0" t="s">
        <v>22</v>
      </c>
      <c r="I524" s="0" t="s">
        <v>835</v>
      </c>
    </row>
    <row customHeight="1" ht="11.25">
      <c r="A525" s="1854" t="s">
        <v>2291</v>
      </c>
      <c r="B525" s="1854" t="s">
        <v>16</v>
      </c>
      <c r="C525" s="0" t="s">
        <v>4085</v>
      </c>
      <c r="D525" s="0" t="s">
        <v>4086</v>
      </c>
      <c r="E525" s="0" t="s">
        <v>4087</v>
      </c>
      <c r="F525" s="0" t="s">
        <v>2359</v>
      </c>
      <c r="G525" s="0" t="s">
        <v>22</v>
      </c>
      <c r="H525" s="0" t="s">
        <v>22</v>
      </c>
      <c r="I525" s="0" t="s">
        <v>835</v>
      </c>
    </row>
    <row customHeight="1" ht="11.25">
      <c r="A526" s="1854" t="s">
        <v>2291</v>
      </c>
      <c r="B526" s="1854" t="s">
        <v>16</v>
      </c>
      <c r="C526" s="0" t="s">
        <v>4088</v>
      </c>
      <c r="D526" s="0" t="s">
        <v>4089</v>
      </c>
      <c r="E526" s="0" t="s">
        <v>4090</v>
      </c>
      <c r="F526" s="0" t="s">
        <v>2359</v>
      </c>
      <c r="G526" s="0" t="s">
        <v>22</v>
      </c>
      <c r="H526" s="0" t="s">
        <v>22</v>
      </c>
      <c r="I526" s="0" t="s">
        <v>835</v>
      </c>
    </row>
    <row customHeight="1" ht="11.25">
      <c r="A527" s="1854" t="s">
        <v>2291</v>
      </c>
      <c r="B527" s="1854" t="s">
        <v>16</v>
      </c>
      <c r="C527" s="0" t="s">
        <v>4091</v>
      </c>
      <c r="D527" s="0" t="s">
        <v>4092</v>
      </c>
      <c r="E527" s="0" t="s">
        <v>4093</v>
      </c>
      <c r="F527" s="0" t="s">
        <v>2389</v>
      </c>
      <c r="G527" s="0" t="s">
        <v>22</v>
      </c>
      <c r="H527" s="0" t="s">
        <v>22</v>
      </c>
      <c r="I527" s="0" t="s">
        <v>835</v>
      </c>
    </row>
    <row customHeight="1" ht="11.25">
      <c r="A528" s="1854" t="s">
        <v>2291</v>
      </c>
      <c r="B528" s="1854" t="s">
        <v>16</v>
      </c>
      <c r="C528" s="0" t="s">
        <v>4094</v>
      </c>
      <c r="D528" s="0" t="s">
        <v>4095</v>
      </c>
      <c r="E528" s="0" t="s">
        <v>4096</v>
      </c>
      <c r="F528" s="0" t="s">
        <v>2467</v>
      </c>
      <c r="G528" s="0" t="s">
        <v>4097</v>
      </c>
      <c r="H528" s="0" t="s">
        <v>22</v>
      </c>
      <c r="I528" s="0" t="s">
        <v>835</v>
      </c>
    </row>
    <row customHeight="1" ht="11.25">
      <c r="A529" s="1854" t="s">
        <v>2291</v>
      </c>
      <c r="B529" s="1854" t="s">
        <v>16</v>
      </c>
      <c r="C529" s="0" t="s">
        <v>4098</v>
      </c>
      <c r="D529" s="0" t="s">
        <v>4099</v>
      </c>
      <c r="E529" s="0" t="s">
        <v>4100</v>
      </c>
      <c r="F529" s="0" t="s">
        <v>2401</v>
      </c>
      <c r="G529" s="0" t="s">
        <v>22</v>
      </c>
      <c r="H529" s="0" t="s">
        <v>22</v>
      </c>
      <c r="I529" s="0" t="s">
        <v>835</v>
      </c>
    </row>
    <row customHeight="1" ht="11.25">
      <c r="A530" s="1854" t="s">
        <v>2291</v>
      </c>
      <c r="B530" s="1854" t="s">
        <v>16</v>
      </c>
      <c r="C530" s="0" t="s">
        <v>4101</v>
      </c>
      <c r="D530" s="0" t="s">
        <v>4102</v>
      </c>
      <c r="E530" s="0" t="s">
        <v>4103</v>
      </c>
      <c r="F530" s="0" t="s">
        <v>2416</v>
      </c>
      <c r="G530" s="0" t="s">
        <v>4104</v>
      </c>
      <c r="H530" s="0" t="s">
        <v>22</v>
      </c>
      <c r="I530" s="0" t="s">
        <v>835</v>
      </c>
    </row>
    <row customHeight="1" ht="11.25">
      <c r="A531" s="1854" t="s">
        <v>2291</v>
      </c>
      <c r="B531" s="1854" t="s">
        <v>16</v>
      </c>
      <c r="C531" s="0" t="s">
        <v>4105</v>
      </c>
      <c r="D531" s="0" t="s">
        <v>4106</v>
      </c>
      <c r="E531" s="0" t="s">
        <v>4107</v>
      </c>
      <c r="F531" s="0" t="s">
        <v>2405</v>
      </c>
      <c r="G531" s="0" t="s">
        <v>22</v>
      </c>
      <c r="H531" s="0" t="s">
        <v>22</v>
      </c>
      <c r="I531" s="0" t="s">
        <v>835</v>
      </c>
    </row>
    <row customHeight="1" ht="11.25">
      <c r="A532" s="1854" t="s">
        <v>2291</v>
      </c>
      <c r="B532" s="1854" t="s">
        <v>16</v>
      </c>
      <c r="C532" s="0" t="s">
        <v>4108</v>
      </c>
      <c r="D532" s="0" t="s">
        <v>4109</v>
      </c>
      <c r="E532" s="0" t="s">
        <v>4110</v>
      </c>
      <c r="F532" s="0" t="s">
        <v>2640</v>
      </c>
      <c r="G532" s="0" t="s">
        <v>22</v>
      </c>
      <c r="H532" s="0" t="s">
        <v>22</v>
      </c>
      <c r="I532" s="0" t="s">
        <v>835</v>
      </c>
    </row>
    <row customHeight="1" ht="11.25">
      <c r="A533" s="1854" t="s">
        <v>2291</v>
      </c>
      <c r="B533" s="1854" t="s">
        <v>16</v>
      </c>
      <c r="C533" s="0" t="s">
        <v>4111</v>
      </c>
      <c r="D533" s="0" t="s">
        <v>4112</v>
      </c>
      <c r="E533" s="0" t="s">
        <v>4113</v>
      </c>
      <c r="F533" s="0" t="s">
        <v>2830</v>
      </c>
      <c r="G533" s="0" t="s">
        <v>22</v>
      </c>
      <c r="H533" s="0" t="s">
        <v>22</v>
      </c>
      <c r="I533" s="0" t="s">
        <v>835</v>
      </c>
    </row>
    <row customHeight="1" ht="11.25">
      <c r="A534" s="1854" t="s">
        <v>2291</v>
      </c>
      <c r="B534" s="1854" t="s">
        <v>16</v>
      </c>
      <c r="C534" s="0" t="s">
        <v>4114</v>
      </c>
      <c r="D534" s="0" t="s">
        <v>4115</v>
      </c>
      <c r="E534" s="0" t="s">
        <v>4116</v>
      </c>
      <c r="F534" s="0" t="s">
        <v>3935</v>
      </c>
      <c r="G534" s="0" t="s">
        <v>4117</v>
      </c>
      <c r="H534" s="0" t="s">
        <v>22</v>
      </c>
      <c r="I534" s="0" t="s">
        <v>835</v>
      </c>
    </row>
    <row customHeight="1" ht="11.25">
      <c r="A535" s="1854" t="s">
        <v>2291</v>
      </c>
      <c r="B535" s="1854" t="s">
        <v>16</v>
      </c>
      <c r="C535" s="0" t="s">
        <v>4118</v>
      </c>
      <c r="D535" s="0" t="s">
        <v>4119</v>
      </c>
      <c r="E535" s="0" t="s">
        <v>4120</v>
      </c>
      <c r="F535" s="0" t="s">
        <v>2640</v>
      </c>
      <c r="G535" s="0" t="s">
        <v>4121</v>
      </c>
      <c r="H535" s="0" t="s">
        <v>4122</v>
      </c>
      <c r="I535" s="0" t="s">
        <v>835</v>
      </c>
    </row>
    <row customHeight="1" ht="11.25">
      <c r="A536" s="1854" t="s">
        <v>2291</v>
      </c>
      <c r="B536" s="1854" t="s">
        <v>16</v>
      </c>
      <c r="C536" s="0" t="s">
        <v>4123</v>
      </c>
      <c r="D536" s="0" t="s">
        <v>4124</v>
      </c>
      <c r="E536" s="0" t="s">
        <v>4125</v>
      </c>
      <c r="F536" s="0" t="s">
        <v>2369</v>
      </c>
      <c r="G536" s="0" t="s">
        <v>22</v>
      </c>
      <c r="H536" s="0" t="s">
        <v>22</v>
      </c>
      <c r="I536" s="0" t="s">
        <v>835</v>
      </c>
    </row>
    <row customHeight="1" ht="11.25">
      <c r="A537" s="1854" t="s">
        <v>2291</v>
      </c>
      <c r="B537" s="1854" t="s">
        <v>16</v>
      </c>
      <c r="C537" s="0" t="s">
        <v>4126</v>
      </c>
      <c r="D537" s="0" t="s">
        <v>4127</v>
      </c>
      <c r="E537" s="0" t="s">
        <v>4128</v>
      </c>
      <c r="F537" s="0" t="s">
        <v>2425</v>
      </c>
      <c r="G537" s="0" t="s">
        <v>22</v>
      </c>
      <c r="H537" s="0" t="s">
        <v>22</v>
      </c>
      <c r="I537" s="0" t="s">
        <v>835</v>
      </c>
    </row>
    <row customHeight="1" ht="11.25">
      <c r="A538" s="1854" t="s">
        <v>2291</v>
      </c>
      <c r="B538" s="1854" t="s">
        <v>16</v>
      </c>
      <c r="C538" s="0" t="s">
        <v>4129</v>
      </c>
      <c r="D538" s="0" t="s">
        <v>4130</v>
      </c>
      <c r="E538" s="0" t="s">
        <v>4131</v>
      </c>
      <c r="F538" s="0" t="s">
        <v>2632</v>
      </c>
      <c r="G538" s="0" t="s">
        <v>22</v>
      </c>
      <c r="H538" s="0" t="s">
        <v>22</v>
      </c>
      <c r="I538" s="0" t="s">
        <v>835</v>
      </c>
    </row>
    <row customHeight="1" ht="11.25">
      <c r="A539" s="1854" t="s">
        <v>2291</v>
      </c>
      <c r="B539" s="1854" t="s">
        <v>16</v>
      </c>
      <c r="C539" s="0" t="s">
        <v>4132</v>
      </c>
      <c r="D539" s="0" t="s">
        <v>4133</v>
      </c>
      <c r="E539" s="0" t="s">
        <v>4134</v>
      </c>
      <c r="F539" s="0" t="s">
        <v>2830</v>
      </c>
      <c r="G539" s="0" t="s">
        <v>22</v>
      </c>
      <c r="H539" s="0" t="s">
        <v>22</v>
      </c>
      <c r="I539" s="0" t="s">
        <v>835</v>
      </c>
    </row>
    <row customHeight="1" ht="11.25">
      <c r="A540" s="1854" t="s">
        <v>2291</v>
      </c>
      <c r="B540" s="1854" t="s">
        <v>16</v>
      </c>
      <c r="C540" s="0" t="s">
        <v>4135</v>
      </c>
      <c r="D540" s="0" t="s">
        <v>4136</v>
      </c>
      <c r="E540" s="0" t="s">
        <v>4137</v>
      </c>
      <c r="F540" s="0" t="s">
        <v>2405</v>
      </c>
      <c r="G540" s="0" t="s">
        <v>22</v>
      </c>
      <c r="H540" s="0" t="s">
        <v>22</v>
      </c>
      <c r="I540" s="0" t="s">
        <v>835</v>
      </c>
    </row>
    <row customHeight="1" ht="11.25">
      <c r="A541" s="1854" t="s">
        <v>2291</v>
      </c>
      <c r="B541" s="1854" t="s">
        <v>16</v>
      </c>
      <c r="C541" s="0" t="s">
        <v>4138</v>
      </c>
      <c r="D541" s="0" t="s">
        <v>4139</v>
      </c>
      <c r="E541" s="0" t="s">
        <v>4140</v>
      </c>
      <c r="F541" s="0" t="s">
        <v>2822</v>
      </c>
      <c r="G541" s="0" t="s">
        <v>22</v>
      </c>
      <c r="H541" s="0" t="s">
        <v>22</v>
      </c>
      <c r="I541" s="0" t="s">
        <v>835</v>
      </c>
    </row>
    <row customHeight="1" ht="11.25">
      <c r="A542" s="1854" t="s">
        <v>2291</v>
      </c>
      <c r="B542" s="1854" t="s">
        <v>16</v>
      </c>
      <c r="C542" s="0" t="s">
        <v>4141</v>
      </c>
      <c r="D542" s="0" t="s">
        <v>4142</v>
      </c>
      <c r="E542" s="0" t="s">
        <v>4143</v>
      </c>
      <c r="F542" s="0" t="s">
        <v>4144</v>
      </c>
      <c r="G542" s="0" t="s">
        <v>22</v>
      </c>
      <c r="H542" s="0" t="s">
        <v>22</v>
      </c>
      <c r="I542" s="0" t="s">
        <v>835</v>
      </c>
    </row>
    <row customHeight="1" ht="11.25">
      <c r="A543" s="1854" t="s">
        <v>2291</v>
      </c>
      <c r="B543" s="1854" t="s">
        <v>16</v>
      </c>
      <c r="C543" s="0" t="s">
        <v>4145</v>
      </c>
      <c r="D543" s="0" t="s">
        <v>4146</v>
      </c>
      <c r="E543" s="0" t="s">
        <v>2742</v>
      </c>
      <c r="F543" s="0" t="s">
        <v>4147</v>
      </c>
      <c r="G543" s="0" t="s">
        <v>22</v>
      </c>
      <c r="H543" s="0" t="s">
        <v>22</v>
      </c>
      <c r="I543" s="0" t="s">
        <v>835</v>
      </c>
    </row>
    <row customHeight="1" ht="11.25">
      <c r="A544" s="1854" t="s">
        <v>2291</v>
      </c>
      <c r="B544" s="1854" t="s">
        <v>16</v>
      </c>
      <c r="C544" s="0" t="s">
        <v>4148</v>
      </c>
      <c r="D544" s="0" t="s">
        <v>4149</v>
      </c>
      <c r="E544" s="0" t="s">
        <v>2742</v>
      </c>
      <c r="F544" s="0" t="s">
        <v>4150</v>
      </c>
      <c r="G544" s="0" t="s">
        <v>22</v>
      </c>
      <c r="H544" s="0" t="s">
        <v>22</v>
      </c>
      <c r="I544" s="0" t="s">
        <v>835</v>
      </c>
    </row>
    <row customHeight="1" ht="11.25">
      <c r="A545" s="1854" t="s">
        <v>2291</v>
      </c>
      <c r="B545" s="1854" t="s">
        <v>16</v>
      </c>
      <c r="C545" s="0" t="s">
        <v>4151</v>
      </c>
      <c r="D545" s="0" t="s">
        <v>4152</v>
      </c>
      <c r="E545" s="0" t="s">
        <v>2742</v>
      </c>
      <c r="F545" s="0" t="s">
        <v>4153</v>
      </c>
      <c r="G545" s="0" t="s">
        <v>22</v>
      </c>
      <c r="H545" s="0" t="s">
        <v>22</v>
      </c>
      <c r="I545" s="0" t="s">
        <v>835</v>
      </c>
    </row>
    <row customHeight="1" ht="11.25">
      <c r="A546" s="1854" t="s">
        <v>2291</v>
      </c>
      <c r="B546" s="1854" t="s">
        <v>16</v>
      </c>
      <c r="C546" s="0" t="s">
        <v>4154</v>
      </c>
      <c r="D546" s="0" t="s">
        <v>4155</v>
      </c>
      <c r="E546" s="0" t="s">
        <v>4156</v>
      </c>
      <c r="F546" s="0" t="s">
        <v>2359</v>
      </c>
      <c r="G546" s="0" t="s">
        <v>22</v>
      </c>
      <c r="H546" s="0" t="s">
        <v>22</v>
      </c>
      <c r="I546" s="0" t="s">
        <v>835</v>
      </c>
    </row>
    <row customHeight="1" ht="11.25">
      <c r="A547" s="1854" t="s">
        <v>2291</v>
      </c>
      <c r="B547" s="1854" t="s">
        <v>16</v>
      </c>
      <c r="C547" s="0" t="s">
        <v>4157</v>
      </c>
      <c r="D547" s="0" t="s">
        <v>4158</v>
      </c>
      <c r="E547" s="0" t="s">
        <v>4159</v>
      </c>
      <c r="F547" s="0" t="s">
        <v>2640</v>
      </c>
      <c r="G547" s="0" t="s">
        <v>22</v>
      </c>
      <c r="H547" s="0" t="s">
        <v>22</v>
      </c>
      <c r="I547" s="0" t="s">
        <v>835</v>
      </c>
    </row>
    <row customHeight="1" ht="11.25">
      <c r="A548" s="1854" t="s">
        <v>2291</v>
      </c>
      <c r="B548" s="1854" t="s">
        <v>16</v>
      </c>
      <c r="C548" s="0" t="s">
        <v>4160</v>
      </c>
      <c r="D548" s="0" t="s">
        <v>4161</v>
      </c>
      <c r="E548" s="0" t="s">
        <v>4162</v>
      </c>
      <c r="F548" s="0" t="s">
        <v>3903</v>
      </c>
      <c r="G548" s="0" t="s">
        <v>22</v>
      </c>
      <c r="H548" s="0" t="s">
        <v>22</v>
      </c>
      <c r="I548" s="0" t="s">
        <v>835</v>
      </c>
    </row>
    <row customHeight="1" ht="11.25">
      <c r="A549" s="1854" t="s">
        <v>2291</v>
      </c>
      <c r="B549" s="1854" t="s">
        <v>16</v>
      </c>
      <c r="C549" s="0" t="s">
        <v>4163</v>
      </c>
      <c r="D549" s="0" t="s">
        <v>4164</v>
      </c>
      <c r="E549" s="0" t="s">
        <v>4165</v>
      </c>
      <c r="F549" s="0" t="s">
        <v>2295</v>
      </c>
      <c r="G549" s="0" t="s">
        <v>22</v>
      </c>
      <c r="H549" s="0" t="s">
        <v>22</v>
      </c>
      <c r="I549" s="0" t="s">
        <v>835</v>
      </c>
    </row>
    <row customHeight="1" ht="11.25">
      <c r="A550" s="1854" t="s">
        <v>2291</v>
      </c>
      <c r="B550" s="1854" t="s">
        <v>16</v>
      </c>
      <c r="C550" s="0" t="s">
        <v>4166</v>
      </c>
      <c r="D550" s="0" t="s">
        <v>4167</v>
      </c>
      <c r="E550" s="0" t="s">
        <v>4168</v>
      </c>
      <c r="F550" s="0" t="s">
        <v>2425</v>
      </c>
      <c r="G550" s="0" t="s">
        <v>22</v>
      </c>
      <c r="H550" s="0" t="s">
        <v>22</v>
      </c>
      <c r="I550" s="0" t="s">
        <v>835</v>
      </c>
    </row>
    <row customHeight="1" ht="11.25">
      <c r="A551" s="1854" t="s">
        <v>2291</v>
      </c>
      <c r="B551" s="1854" t="s">
        <v>16</v>
      </c>
      <c r="C551" s="0" t="s">
        <v>4169</v>
      </c>
      <c r="D551" s="0" t="s">
        <v>4170</v>
      </c>
      <c r="E551" s="0" t="s">
        <v>4171</v>
      </c>
      <c r="F551" s="0" t="s">
        <v>2313</v>
      </c>
      <c r="G551" s="0" t="s">
        <v>22</v>
      </c>
      <c r="H551" s="0" t="s">
        <v>22</v>
      </c>
      <c r="I551" s="0" t="s">
        <v>835</v>
      </c>
    </row>
    <row customHeight="1" ht="11.25">
      <c r="A552" s="1854" t="s">
        <v>2291</v>
      </c>
      <c r="B552" s="1854" t="s">
        <v>16</v>
      </c>
      <c r="C552" s="0" t="s">
        <v>4172</v>
      </c>
      <c r="D552" s="0" t="s">
        <v>4173</v>
      </c>
      <c r="E552" s="0" t="s">
        <v>4174</v>
      </c>
      <c r="F552" s="0" t="s">
        <v>2401</v>
      </c>
      <c r="G552" s="0" t="s">
        <v>22</v>
      </c>
      <c r="H552" s="0" t="s">
        <v>22</v>
      </c>
      <c r="I552" s="0" t="s">
        <v>835</v>
      </c>
    </row>
    <row customHeight="1" ht="11.25">
      <c r="A553" s="1854" t="s">
        <v>2291</v>
      </c>
      <c r="B553" s="1854" t="s">
        <v>16</v>
      </c>
      <c r="C553" s="0" t="s">
        <v>4175</v>
      </c>
      <c r="D553" s="0" t="s">
        <v>4176</v>
      </c>
      <c r="E553" s="0" t="s">
        <v>4177</v>
      </c>
      <c r="F553" s="0" t="s">
        <v>4178</v>
      </c>
      <c r="G553" s="0" t="s">
        <v>22</v>
      </c>
      <c r="H553" s="0" t="s">
        <v>22</v>
      </c>
      <c r="I553" s="0" t="s">
        <v>835</v>
      </c>
    </row>
    <row customHeight="1" ht="11.25">
      <c r="A554" s="1854" t="s">
        <v>2291</v>
      </c>
      <c r="B554" s="1854" t="s">
        <v>16</v>
      </c>
      <c r="C554" s="0" t="s">
        <v>4179</v>
      </c>
      <c r="D554" s="0" t="s">
        <v>4180</v>
      </c>
      <c r="E554" s="0" t="s">
        <v>4181</v>
      </c>
      <c r="F554" s="0" t="s">
        <v>2632</v>
      </c>
      <c r="G554" s="0" t="s">
        <v>2378</v>
      </c>
      <c r="H554" s="0" t="s">
        <v>22</v>
      </c>
      <c r="I554" s="0" t="s">
        <v>835</v>
      </c>
    </row>
    <row customHeight="1" ht="11.25">
      <c r="A555" s="1854" t="s">
        <v>2291</v>
      </c>
      <c r="B555" s="1854" t="s">
        <v>16</v>
      </c>
      <c r="C555" s="0" t="s">
        <v>4182</v>
      </c>
      <c r="D555" s="0" t="s">
        <v>4183</v>
      </c>
      <c r="E555" s="0" t="s">
        <v>4184</v>
      </c>
      <c r="F555" s="0" t="s">
        <v>4185</v>
      </c>
      <c r="G555" s="0" t="s">
        <v>22</v>
      </c>
      <c r="H555" s="0" t="s">
        <v>22</v>
      </c>
      <c r="I555" s="0" t="s">
        <v>835</v>
      </c>
    </row>
    <row customHeight="1" ht="11.25">
      <c r="A556" s="1854" t="s">
        <v>2291</v>
      </c>
      <c r="B556" s="1854" t="s">
        <v>16</v>
      </c>
      <c r="C556" s="0" t="s">
        <v>4186</v>
      </c>
      <c r="D556" s="0" t="s">
        <v>4187</v>
      </c>
      <c r="E556" s="0" t="s">
        <v>4188</v>
      </c>
      <c r="F556" s="0" t="s">
        <v>2327</v>
      </c>
      <c r="G556" s="0" t="s">
        <v>22</v>
      </c>
      <c r="H556" s="0" t="s">
        <v>22</v>
      </c>
      <c r="I556" s="0" t="s">
        <v>835</v>
      </c>
    </row>
    <row customHeight="1" ht="11.25">
      <c r="A557" s="1854" t="s">
        <v>2291</v>
      </c>
      <c r="B557" s="1854" t="s">
        <v>16</v>
      </c>
      <c r="C557" s="0" t="s">
        <v>4189</v>
      </c>
      <c r="D557" s="0" t="s">
        <v>4190</v>
      </c>
      <c r="E557" s="0" t="s">
        <v>4191</v>
      </c>
      <c r="F557" s="0" t="s">
        <v>4192</v>
      </c>
      <c r="G557" s="0" t="s">
        <v>22</v>
      </c>
      <c r="H557" s="0" t="s">
        <v>22</v>
      </c>
      <c r="I557" s="0" t="s">
        <v>835</v>
      </c>
    </row>
    <row customHeight="1" ht="11.25">
      <c r="A558" s="1854" t="s">
        <v>2291</v>
      </c>
      <c r="B558" s="1854" t="s">
        <v>16</v>
      </c>
      <c r="C558" s="0" t="s">
        <v>4193</v>
      </c>
      <c r="D558" s="0" t="s">
        <v>4194</v>
      </c>
      <c r="E558" s="0" t="s">
        <v>4195</v>
      </c>
      <c r="F558" s="0" t="s">
        <v>4196</v>
      </c>
      <c r="G558" s="0" t="s">
        <v>22</v>
      </c>
      <c r="H558" s="0" t="s">
        <v>22</v>
      </c>
      <c r="I558" s="0" t="s">
        <v>835</v>
      </c>
    </row>
    <row customHeight="1" ht="11.25">
      <c r="A559" s="1854" t="s">
        <v>2291</v>
      </c>
      <c r="B559" s="1854" t="s">
        <v>16</v>
      </c>
      <c r="C559" s="0" t="s">
        <v>4197</v>
      </c>
      <c r="D559" s="0" t="s">
        <v>4198</v>
      </c>
      <c r="E559" s="0" t="s">
        <v>4199</v>
      </c>
      <c r="F559" s="0" t="s">
        <v>2393</v>
      </c>
      <c r="G559" s="0" t="s">
        <v>22</v>
      </c>
      <c r="H559" s="0" t="s">
        <v>22</v>
      </c>
      <c r="I559" s="0" t="s">
        <v>835</v>
      </c>
    </row>
    <row customHeight="1" ht="11.25">
      <c r="A560" s="1854" t="s">
        <v>2291</v>
      </c>
      <c r="B560" s="1854" t="s">
        <v>16</v>
      </c>
      <c r="C560" s="0" t="s">
        <v>4200</v>
      </c>
      <c r="D560" s="0" t="s">
        <v>4201</v>
      </c>
      <c r="E560" s="0" t="s">
        <v>4202</v>
      </c>
      <c r="F560" s="0" t="s">
        <v>2313</v>
      </c>
      <c r="G560" s="0" t="s">
        <v>22</v>
      </c>
      <c r="H560" s="0" t="s">
        <v>22</v>
      </c>
      <c r="I560" s="0" t="s">
        <v>835</v>
      </c>
    </row>
    <row customHeight="1" ht="11.25">
      <c r="A561" s="1854" t="s">
        <v>2291</v>
      </c>
      <c r="B561" s="1854" t="s">
        <v>16</v>
      </c>
      <c r="C561" s="0" t="s">
        <v>4203</v>
      </c>
      <c r="D561" s="0" t="s">
        <v>4204</v>
      </c>
      <c r="E561" s="0" t="s">
        <v>4205</v>
      </c>
      <c r="F561" s="0" t="s">
        <v>2369</v>
      </c>
      <c r="G561" s="0" t="s">
        <v>4206</v>
      </c>
      <c r="H561" s="0" t="s">
        <v>22</v>
      </c>
      <c r="I561" s="0" t="s">
        <v>835</v>
      </c>
    </row>
    <row customHeight="1" ht="11.25">
      <c r="A562" s="1854" t="s">
        <v>2291</v>
      </c>
      <c r="B562" s="1854" t="s">
        <v>16</v>
      </c>
      <c r="C562" s="0" t="s">
        <v>4207</v>
      </c>
      <c r="D562" s="0" t="s">
        <v>4208</v>
      </c>
      <c r="E562" s="0" t="s">
        <v>4209</v>
      </c>
      <c r="F562" s="0" t="s">
        <v>2416</v>
      </c>
      <c r="G562" s="0" t="s">
        <v>4210</v>
      </c>
      <c r="H562" s="0" t="s">
        <v>22</v>
      </c>
      <c r="I562" s="0" t="s">
        <v>835</v>
      </c>
    </row>
    <row customHeight="1" ht="11.25">
      <c r="A563" s="1854" t="s">
        <v>2291</v>
      </c>
      <c r="B563" s="1854" t="s">
        <v>16</v>
      </c>
      <c r="C563" s="0" t="s">
        <v>4211</v>
      </c>
      <c r="D563" s="0" t="s">
        <v>4212</v>
      </c>
      <c r="E563" s="0" t="s">
        <v>4213</v>
      </c>
      <c r="F563" s="0" t="s">
        <v>51</v>
      </c>
      <c r="G563" s="0" t="s">
        <v>4214</v>
      </c>
      <c r="H563" s="0" t="s">
        <v>22</v>
      </c>
      <c r="I563" s="0" t="s">
        <v>835</v>
      </c>
    </row>
    <row customHeight="1" ht="11.25">
      <c r="A564" s="1854" t="s">
        <v>2291</v>
      </c>
      <c r="B564" s="1854" t="s">
        <v>16</v>
      </c>
      <c r="C564" s="0" t="s">
        <v>4215</v>
      </c>
      <c r="D564" s="0" t="s">
        <v>4216</v>
      </c>
      <c r="E564" s="0" t="s">
        <v>4217</v>
      </c>
      <c r="F564" s="0" t="s">
        <v>4218</v>
      </c>
      <c r="G564" s="0" t="s">
        <v>4219</v>
      </c>
      <c r="H564" s="0" t="s">
        <v>22</v>
      </c>
      <c r="I564" s="0" t="s">
        <v>835</v>
      </c>
    </row>
    <row customHeight="1" ht="11.25">
      <c r="A565" s="1854" t="s">
        <v>2291</v>
      </c>
      <c r="B565" s="1854" t="s">
        <v>16</v>
      </c>
      <c r="C565" s="0" t="s">
        <v>4220</v>
      </c>
      <c r="D565" s="0" t="s">
        <v>4221</v>
      </c>
      <c r="E565" s="0" t="s">
        <v>4222</v>
      </c>
      <c r="F565" s="0" t="s">
        <v>2351</v>
      </c>
      <c r="G565" s="0" t="s">
        <v>4223</v>
      </c>
      <c r="H565" s="0" t="s">
        <v>22</v>
      </c>
      <c r="I565" s="0" t="s">
        <v>835</v>
      </c>
    </row>
    <row customHeight="1" ht="11.25">
      <c r="A566" s="1854" t="s">
        <v>2291</v>
      </c>
      <c r="B566" s="1854" t="s">
        <v>16</v>
      </c>
      <c r="C566" s="0" t="s">
        <v>4224</v>
      </c>
      <c r="D566" s="0" t="s">
        <v>4225</v>
      </c>
      <c r="E566" s="0" t="s">
        <v>4226</v>
      </c>
      <c r="F566" s="0" t="s">
        <v>2405</v>
      </c>
      <c r="G566" s="0" t="s">
        <v>22</v>
      </c>
      <c r="H566" s="0" t="s">
        <v>22</v>
      </c>
      <c r="I566" s="0" t="s">
        <v>835</v>
      </c>
    </row>
    <row customHeight="1" ht="11.25">
      <c r="A567" s="1854" t="s">
        <v>2291</v>
      </c>
      <c r="B567" s="1854" t="s">
        <v>16</v>
      </c>
      <c r="C567" s="0" t="s">
        <v>4227</v>
      </c>
      <c r="D567" s="0" t="s">
        <v>4228</v>
      </c>
      <c r="E567" s="0" t="s">
        <v>4199</v>
      </c>
      <c r="F567" s="0" t="s">
        <v>4229</v>
      </c>
      <c r="G567" s="0" t="s">
        <v>22</v>
      </c>
      <c r="H567" s="0" t="s">
        <v>22</v>
      </c>
      <c r="I567" s="0" t="s">
        <v>835</v>
      </c>
    </row>
    <row customHeight="1" ht="11.25">
      <c r="A568" s="1854" t="s">
        <v>2291</v>
      </c>
      <c r="B568" s="1854" t="s">
        <v>16</v>
      </c>
      <c r="C568" s="0" t="s">
        <v>4230</v>
      </c>
      <c r="D568" s="0" t="s">
        <v>4231</v>
      </c>
      <c r="E568" s="0" t="s">
        <v>4199</v>
      </c>
      <c r="F568" s="0" t="s">
        <v>2889</v>
      </c>
      <c r="G568" s="0" t="s">
        <v>4232</v>
      </c>
      <c r="H568" s="0" t="s">
        <v>22</v>
      </c>
      <c r="I568" s="0" t="s">
        <v>835</v>
      </c>
    </row>
    <row customHeight="1" ht="11.25">
      <c r="A569" s="1854" t="s">
        <v>2291</v>
      </c>
      <c r="B569" s="1854" t="s">
        <v>16</v>
      </c>
      <c r="C569" s="0" t="s">
        <v>4233</v>
      </c>
      <c r="D569" s="0" t="s">
        <v>4234</v>
      </c>
      <c r="E569" s="0" t="s">
        <v>4235</v>
      </c>
      <c r="F569" s="0" t="s">
        <v>2601</v>
      </c>
      <c r="G569" s="0" t="s">
        <v>22</v>
      </c>
      <c r="H569" s="0" t="s">
        <v>22</v>
      </c>
      <c r="I569" s="0" t="s">
        <v>835</v>
      </c>
    </row>
    <row customHeight="1" ht="11.25">
      <c r="A570" s="1854" t="s">
        <v>2291</v>
      </c>
      <c r="B570" s="1854" t="s">
        <v>16</v>
      </c>
      <c r="C570" s="0" t="s">
        <v>22</v>
      </c>
      <c r="D570" s="0" t="s">
        <v>4236</v>
      </c>
      <c r="E570" s="0" t="s">
        <v>4237</v>
      </c>
      <c r="F570" s="0" t="s">
        <v>2393</v>
      </c>
      <c r="G570" s="0" t="s">
        <v>22</v>
      </c>
      <c r="H570" s="0" t="s">
        <v>22</v>
      </c>
      <c r="I570" s="0" t="s">
        <v>835</v>
      </c>
    </row>
    <row customHeight="1" ht="11.25">
      <c r="A571" s="1854" t="s">
        <v>2291</v>
      </c>
      <c r="B571" s="1854" t="s">
        <v>16</v>
      </c>
      <c r="C571" s="0" t="s">
        <v>4238</v>
      </c>
      <c r="D571" s="0" t="s">
        <v>4239</v>
      </c>
      <c r="E571" s="0" t="s">
        <v>4240</v>
      </c>
      <c r="F571" s="0" t="s">
        <v>2322</v>
      </c>
      <c r="G571" s="0" t="s">
        <v>4241</v>
      </c>
      <c r="H571" s="0" t="s">
        <v>22</v>
      </c>
      <c r="I571" s="0" t="s">
        <v>835</v>
      </c>
    </row>
    <row customHeight="1" ht="11.25">
      <c r="A572" s="1854" t="s">
        <v>2291</v>
      </c>
      <c r="B572" s="1854" t="s">
        <v>16</v>
      </c>
      <c r="C572" s="0" t="s">
        <v>4242</v>
      </c>
      <c r="D572" s="0" t="s">
        <v>4243</v>
      </c>
      <c r="E572" s="0" t="s">
        <v>4244</v>
      </c>
      <c r="F572" s="0" t="s">
        <v>4009</v>
      </c>
      <c r="G572" s="0" t="s">
        <v>22</v>
      </c>
      <c r="H572" s="0" t="s">
        <v>22</v>
      </c>
      <c r="I572" s="0" t="s">
        <v>835</v>
      </c>
    </row>
    <row customHeight="1" ht="11.25">
      <c r="A573" s="1854" t="s">
        <v>2291</v>
      </c>
      <c r="B573" s="1854" t="s">
        <v>16</v>
      </c>
      <c r="C573" s="0" t="s">
        <v>4245</v>
      </c>
      <c r="D573" s="0" t="s">
        <v>4246</v>
      </c>
      <c r="E573" s="0" t="s">
        <v>4247</v>
      </c>
      <c r="F573" s="0" t="s">
        <v>3903</v>
      </c>
      <c r="G573" s="0" t="s">
        <v>22</v>
      </c>
      <c r="H573" s="0" t="s">
        <v>22</v>
      </c>
      <c r="I573" s="0" t="s">
        <v>835</v>
      </c>
    </row>
    <row customHeight="1" ht="11.25">
      <c r="A574" s="1854" t="s">
        <v>2291</v>
      </c>
      <c r="B574" s="1854" t="s">
        <v>16</v>
      </c>
      <c r="C574" s="0" t="s">
        <v>4248</v>
      </c>
      <c r="D574" s="0" t="s">
        <v>4249</v>
      </c>
      <c r="E574" s="0" t="s">
        <v>4250</v>
      </c>
      <c r="F574" s="0" t="s">
        <v>2295</v>
      </c>
      <c r="G574" s="0" t="s">
        <v>22</v>
      </c>
      <c r="H574" s="0" t="s">
        <v>22</v>
      </c>
      <c r="I574" s="0" t="s">
        <v>835</v>
      </c>
    </row>
    <row customHeight="1" ht="11.25">
      <c r="A575" s="1854" t="s">
        <v>2291</v>
      </c>
      <c r="B575" s="1854" t="s">
        <v>16</v>
      </c>
      <c r="C575" s="0" t="s">
        <v>4251</v>
      </c>
      <c r="D575" s="0" t="s">
        <v>4252</v>
      </c>
      <c r="E575" s="0" t="s">
        <v>4253</v>
      </c>
      <c r="F575" s="0" t="s">
        <v>3744</v>
      </c>
      <c r="G575" s="0" t="s">
        <v>22</v>
      </c>
      <c r="H575" s="0" t="s">
        <v>22</v>
      </c>
      <c r="I575" s="0" t="s">
        <v>835</v>
      </c>
    </row>
    <row customHeight="1" ht="11.25">
      <c r="A576" s="1854" t="s">
        <v>2291</v>
      </c>
      <c r="B576" s="1854" t="s">
        <v>16</v>
      </c>
      <c r="C576" s="0" t="s">
        <v>4254</v>
      </c>
      <c r="D576" s="0" t="s">
        <v>4255</v>
      </c>
      <c r="E576" s="0" t="s">
        <v>4256</v>
      </c>
      <c r="F576" s="0" t="s">
        <v>2416</v>
      </c>
      <c r="G576" s="0" t="s">
        <v>22</v>
      </c>
      <c r="H576" s="0" t="s">
        <v>22</v>
      </c>
      <c r="I576" s="0" t="s">
        <v>835</v>
      </c>
    </row>
    <row customHeight="1" ht="11.25">
      <c r="A577" s="1854" t="s">
        <v>2291</v>
      </c>
      <c r="B577" s="1854" t="s">
        <v>16</v>
      </c>
      <c r="C577" s="0" t="s">
        <v>4257</v>
      </c>
      <c r="D577" s="0" t="s">
        <v>4258</v>
      </c>
      <c r="E577" s="0" t="s">
        <v>4259</v>
      </c>
      <c r="F577" s="0" t="s">
        <v>2401</v>
      </c>
      <c r="G577" s="0" t="s">
        <v>22</v>
      </c>
      <c r="H577" s="0" t="s">
        <v>22</v>
      </c>
      <c r="I577" s="0" t="s">
        <v>835</v>
      </c>
    </row>
    <row customHeight="1" ht="11.25">
      <c r="A578" s="1854" t="s">
        <v>2291</v>
      </c>
      <c r="B578" s="1854" t="s">
        <v>16</v>
      </c>
      <c r="C578" s="0" t="s">
        <v>4260</v>
      </c>
      <c r="D578" s="0" t="s">
        <v>4261</v>
      </c>
      <c r="E578" s="0" t="s">
        <v>4262</v>
      </c>
      <c r="F578" s="0" t="s">
        <v>4263</v>
      </c>
      <c r="G578" s="0" t="s">
        <v>22</v>
      </c>
      <c r="H578" s="0" t="s">
        <v>22</v>
      </c>
      <c r="I578" s="0" t="s">
        <v>835</v>
      </c>
    </row>
    <row customHeight="1" ht="11.25">
      <c r="A579" s="1854" t="s">
        <v>2291</v>
      </c>
      <c r="B579" s="1854" t="s">
        <v>16</v>
      </c>
      <c r="C579" s="0" t="s">
        <v>4264</v>
      </c>
      <c r="D579" s="0" t="s">
        <v>4265</v>
      </c>
      <c r="E579" s="0" t="s">
        <v>4266</v>
      </c>
      <c r="F579" s="0" t="s">
        <v>4267</v>
      </c>
      <c r="G579" s="0" t="s">
        <v>4268</v>
      </c>
      <c r="H579" s="0" t="s">
        <v>22</v>
      </c>
      <c r="I579" s="0" t="s">
        <v>835</v>
      </c>
    </row>
    <row customHeight="1" ht="11.25">
      <c r="A580" s="1854" t="s">
        <v>2291</v>
      </c>
      <c r="B580" s="1854" t="s">
        <v>16</v>
      </c>
      <c r="C580" s="0" t="s">
        <v>4269</v>
      </c>
      <c r="D580" s="0" t="s">
        <v>4270</v>
      </c>
      <c r="E580" s="0" t="s">
        <v>4271</v>
      </c>
      <c r="F580" s="0" t="s">
        <v>2389</v>
      </c>
      <c r="G580" s="0" t="s">
        <v>22</v>
      </c>
      <c r="H580" s="0" t="s">
        <v>22</v>
      </c>
      <c r="I580" s="0" t="s">
        <v>835</v>
      </c>
    </row>
    <row customHeight="1" ht="11.25">
      <c r="A581" s="1854" t="s">
        <v>2291</v>
      </c>
      <c r="B581" s="1854" t="s">
        <v>16</v>
      </c>
      <c r="C581" s="0" t="s">
        <v>4272</v>
      </c>
      <c r="D581" s="0" t="s">
        <v>4273</v>
      </c>
      <c r="E581" s="0" t="s">
        <v>4274</v>
      </c>
      <c r="F581" s="0" t="s">
        <v>2295</v>
      </c>
      <c r="G581" s="0" t="s">
        <v>22</v>
      </c>
      <c r="H581" s="0" t="s">
        <v>22</v>
      </c>
      <c r="I581" s="0" t="s">
        <v>835</v>
      </c>
    </row>
    <row customHeight="1" ht="11.25">
      <c r="A582" s="1854" t="s">
        <v>2291</v>
      </c>
      <c r="B582" s="1854" t="s">
        <v>16</v>
      </c>
      <c r="C582" s="0" t="s">
        <v>4275</v>
      </c>
      <c r="D582" s="0" t="s">
        <v>4276</v>
      </c>
      <c r="E582" s="0" t="s">
        <v>4277</v>
      </c>
      <c r="F582" s="0" t="s">
        <v>2295</v>
      </c>
      <c r="G582" s="0" t="s">
        <v>4278</v>
      </c>
      <c r="H582" s="0" t="s">
        <v>22</v>
      </c>
      <c r="I582" s="0" t="s">
        <v>835</v>
      </c>
    </row>
    <row customHeight="1" ht="11.25">
      <c r="A583" s="1854" t="s">
        <v>2291</v>
      </c>
      <c r="B583" s="1854" t="s">
        <v>16</v>
      </c>
      <c r="C583" s="0" t="s">
        <v>4279</v>
      </c>
      <c r="D583" s="0" t="s">
        <v>4280</v>
      </c>
      <c r="E583" s="0" t="s">
        <v>4281</v>
      </c>
      <c r="F583" s="0" t="s">
        <v>2393</v>
      </c>
      <c r="G583" s="0" t="s">
        <v>22</v>
      </c>
      <c r="H583" s="0" t="s">
        <v>22</v>
      </c>
      <c r="I583" s="0" t="s">
        <v>835</v>
      </c>
    </row>
    <row customHeight="1" ht="11.25">
      <c r="A584" s="1854" t="s">
        <v>2291</v>
      </c>
      <c r="B584" s="1854" t="s">
        <v>16</v>
      </c>
      <c r="C584" s="0" t="s">
        <v>4282</v>
      </c>
      <c r="D584" s="0" t="s">
        <v>4283</v>
      </c>
      <c r="E584" s="0" t="s">
        <v>4284</v>
      </c>
      <c r="F584" s="0" t="s">
        <v>4285</v>
      </c>
      <c r="G584" s="0" t="s">
        <v>22</v>
      </c>
      <c r="H584" s="0" t="s">
        <v>22</v>
      </c>
      <c r="I584" s="0" t="s">
        <v>835</v>
      </c>
    </row>
    <row customHeight="1" ht="11.25">
      <c r="A585" s="1854" t="s">
        <v>2291</v>
      </c>
      <c r="B585" s="1854" t="s">
        <v>16</v>
      </c>
      <c r="C585" s="0" t="s">
        <v>4286</v>
      </c>
      <c r="D585" s="0" t="s">
        <v>4287</v>
      </c>
      <c r="E585" s="0" t="s">
        <v>4288</v>
      </c>
      <c r="F585" s="0" t="s">
        <v>2621</v>
      </c>
      <c r="G585" s="0" t="s">
        <v>22</v>
      </c>
      <c r="H585" s="0" t="s">
        <v>22</v>
      </c>
      <c r="I585" s="0" t="s">
        <v>835</v>
      </c>
    </row>
    <row customHeight="1" ht="11.25">
      <c r="A586" s="1854" t="s">
        <v>2291</v>
      </c>
      <c r="B586" s="1854" t="s">
        <v>16</v>
      </c>
      <c r="C586" s="0" t="s">
        <v>4289</v>
      </c>
      <c r="D586" s="0" t="s">
        <v>4290</v>
      </c>
      <c r="E586" s="0" t="s">
        <v>4291</v>
      </c>
      <c r="F586" s="0" t="s">
        <v>2393</v>
      </c>
      <c r="G586" s="0" t="s">
        <v>22</v>
      </c>
      <c r="H586" s="0" t="s">
        <v>22</v>
      </c>
      <c r="I586" s="0" t="s">
        <v>835</v>
      </c>
    </row>
    <row customHeight="1" ht="11.25">
      <c r="A587" s="1854" t="s">
        <v>2291</v>
      </c>
      <c r="B587" s="1854" t="s">
        <v>16</v>
      </c>
      <c r="C587" s="0" t="s">
        <v>4292</v>
      </c>
      <c r="D587" s="0" t="s">
        <v>4293</v>
      </c>
      <c r="E587" s="0" t="s">
        <v>4294</v>
      </c>
      <c r="F587" s="0" t="s">
        <v>2416</v>
      </c>
      <c r="G587" s="0" t="s">
        <v>22</v>
      </c>
      <c r="H587" s="0" t="s">
        <v>22</v>
      </c>
      <c r="I587" s="0" t="s">
        <v>835</v>
      </c>
    </row>
    <row customHeight="1" ht="11.25">
      <c r="A588" s="1854" t="s">
        <v>2291</v>
      </c>
      <c r="B588" s="1854" t="s">
        <v>16</v>
      </c>
      <c r="C588" s="0" t="s">
        <v>4295</v>
      </c>
      <c r="D588" s="0" t="s">
        <v>4296</v>
      </c>
      <c r="E588" s="0" t="s">
        <v>4297</v>
      </c>
      <c r="F588" s="0" t="s">
        <v>2377</v>
      </c>
      <c r="G588" s="0" t="s">
        <v>4298</v>
      </c>
      <c r="H588" s="0" t="s">
        <v>22</v>
      </c>
      <c r="I588" s="0" t="s">
        <v>835</v>
      </c>
    </row>
    <row customHeight="1" ht="11.25">
      <c r="A589" s="1854" t="s">
        <v>2291</v>
      </c>
      <c r="B589" s="1854" t="s">
        <v>16</v>
      </c>
      <c r="C589" s="0" t="s">
        <v>4299</v>
      </c>
      <c r="D589" s="0" t="s">
        <v>4300</v>
      </c>
      <c r="E589" s="0" t="s">
        <v>4301</v>
      </c>
      <c r="F589" s="0" t="s">
        <v>2632</v>
      </c>
      <c r="G589" s="0" t="s">
        <v>22</v>
      </c>
      <c r="H589" s="0" t="s">
        <v>22</v>
      </c>
      <c r="I589" s="0" t="s">
        <v>835</v>
      </c>
    </row>
    <row customHeight="1" ht="11.25">
      <c r="A590" s="1854" t="s">
        <v>2291</v>
      </c>
      <c r="B590" s="1854" t="s">
        <v>16</v>
      </c>
      <c r="C590" s="0" t="s">
        <v>4302</v>
      </c>
      <c r="D590" s="0" t="s">
        <v>4303</v>
      </c>
      <c r="E590" s="0" t="s">
        <v>4304</v>
      </c>
      <c r="F590" s="0" t="s">
        <v>3223</v>
      </c>
      <c r="G590" s="0" t="s">
        <v>22</v>
      </c>
      <c r="H590" s="0" t="s">
        <v>22</v>
      </c>
      <c r="I590" s="0" t="s">
        <v>835</v>
      </c>
    </row>
    <row customHeight="1" ht="11.25">
      <c r="A591" s="1854" t="s">
        <v>2291</v>
      </c>
      <c r="B591" s="1854" t="s">
        <v>16</v>
      </c>
      <c r="C591" s="0" t="s">
        <v>4305</v>
      </c>
      <c r="D591" s="0" t="s">
        <v>4306</v>
      </c>
      <c r="E591" s="0" t="s">
        <v>4281</v>
      </c>
      <c r="F591" s="0" t="s">
        <v>2822</v>
      </c>
      <c r="G591" s="0" t="s">
        <v>4307</v>
      </c>
      <c r="H591" s="0" t="s">
        <v>22</v>
      </c>
      <c r="I591" s="0" t="s">
        <v>835</v>
      </c>
    </row>
    <row customHeight="1" ht="11.25">
      <c r="A592" s="1854" t="s">
        <v>2291</v>
      </c>
      <c r="B592" s="1854" t="s">
        <v>16</v>
      </c>
      <c r="C592" s="0" t="s">
        <v>4308</v>
      </c>
      <c r="D592" s="0" t="s">
        <v>4309</v>
      </c>
      <c r="E592" s="0" t="s">
        <v>4310</v>
      </c>
      <c r="F592" s="0" t="s">
        <v>51</v>
      </c>
      <c r="G592" s="0" t="s">
        <v>22</v>
      </c>
      <c r="H592" s="0" t="s">
        <v>22</v>
      </c>
      <c r="I592" s="0" t="s">
        <v>835</v>
      </c>
    </row>
    <row customHeight="1" ht="11.25">
      <c r="A593" s="1854" t="s">
        <v>2291</v>
      </c>
      <c r="B593" s="1854" t="s">
        <v>16</v>
      </c>
      <c r="C593" s="0" t="s">
        <v>4311</v>
      </c>
      <c r="D593" s="0" t="s">
        <v>4312</v>
      </c>
      <c r="E593" s="0" t="s">
        <v>4217</v>
      </c>
      <c r="F593" s="0" t="s">
        <v>4313</v>
      </c>
      <c r="G593" s="0" t="s">
        <v>4314</v>
      </c>
      <c r="H593" s="0" t="s">
        <v>22</v>
      </c>
      <c r="I593" s="0" t="s">
        <v>835</v>
      </c>
    </row>
    <row customHeight="1" ht="11.25">
      <c r="A594" s="1854" t="s">
        <v>2291</v>
      </c>
      <c r="B594" s="1854" t="s">
        <v>16</v>
      </c>
      <c r="C594" s="0" t="s">
        <v>4315</v>
      </c>
      <c r="D594" s="0" t="s">
        <v>4316</v>
      </c>
      <c r="E594" s="0" t="s">
        <v>2631</v>
      </c>
      <c r="F594" s="0" t="s">
        <v>4317</v>
      </c>
      <c r="G594" s="0" t="s">
        <v>22</v>
      </c>
      <c r="H594" s="0" t="s">
        <v>22</v>
      </c>
      <c r="I594" s="0" t="s">
        <v>835</v>
      </c>
    </row>
    <row customHeight="1" ht="11.25">
      <c r="A595" s="1854" t="s">
        <v>2291</v>
      </c>
      <c r="B595" s="1854" t="s">
        <v>16</v>
      </c>
      <c r="C595" s="0" t="s">
        <v>4318</v>
      </c>
      <c r="D595" s="0" t="s">
        <v>4319</v>
      </c>
      <c r="E595" s="0" t="s">
        <v>2631</v>
      </c>
      <c r="F595" s="0" t="s">
        <v>2727</v>
      </c>
      <c r="G595" s="0" t="s">
        <v>4320</v>
      </c>
      <c r="H595" s="0" t="s">
        <v>22</v>
      </c>
      <c r="I595" s="0" t="s">
        <v>835</v>
      </c>
    </row>
    <row customHeight="1" ht="11.25">
      <c r="A596" s="1854" t="s">
        <v>2291</v>
      </c>
      <c r="B596" s="1854" t="s">
        <v>16</v>
      </c>
      <c r="C596" s="0" t="s">
        <v>4321</v>
      </c>
      <c r="D596" s="0" t="s">
        <v>4322</v>
      </c>
      <c r="E596" s="0" t="s">
        <v>2551</v>
      </c>
      <c r="F596" s="0" t="s">
        <v>4185</v>
      </c>
      <c r="G596" s="0" t="s">
        <v>22</v>
      </c>
      <c r="H596" s="0" t="s">
        <v>22</v>
      </c>
      <c r="I596" s="0" t="s">
        <v>835</v>
      </c>
    </row>
    <row customHeight="1" ht="11.25">
      <c r="A597" s="1854" t="s">
        <v>2291</v>
      </c>
      <c r="B597" s="1854" t="s">
        <v>16</v>
      </c>
      <c r="C597" s="0" t="s">
        <v>4323</v>
      </c>
      <c r="D597" s="0" t="s">
        <v>4324</v>
      </c>
      <c r="E597" s="0" t="s">
        <v>4325</v>
      </c>
      <c r="F597" s="0" t="s">
        <v>4326</v>
      </c>
      <c r="G597" s="0" t="s">
        <v>4327</v>
      </c>
      <c r="H597" s="0" t="s">
        <v>22</v>
      </c>
      <c r="I597" s="0" t="s">
        <v>835</v>
      </c>
    </row>
    <row customHeight="1" ht="11.25">
      <c r="A598" s="1854" t="s">
        <v>2291</v>
      </c>
      <c r="B598" s="1854" t="s">
        <v>16</v>
      </c>
      <c r="C598" s="0" t="s">
        <v>4328</v>
      </c>
      <c r="D598" s="0" t="s">
        <v>4329</v>
      </c>
      <c r="E598" s="0" t="s">
        <v>4195</v>
      </c>
      <c r="F598" s="0" t="s">
        <v>4330</v>
      </c>
      <c r="G598" s="0" t="s">
        <v>22</v>
      </c>
      <c r="H598" s="0" t="s">
        <v>22</v>
      </c>
      <c r="I598" s="0" t="s">
        <v>835</v>
      </c>
    </row>
    <row customHeight="1" ht="11.25">
      <c r="A599" s="1854" t="s">
        <v>2291</v>
      </c>
      <c r="B599" s="1854" t="s">
        <v>16</v>
      </c>
      <c r="C599" s="0" t="s">
        <v>4331</v>
      </c>
      <c r="D599" s="0" t="s">
        <v>4332</v>
      </c>
      <c r="E599" s="0" t="s">
        <v>4333</v>
      </c>
      <c r="F599" s="0" t="s">
        <v>4334</v>
      </c>
      <c r="G599" s="0" t="s">
        <v>22</v>
      </c>
      <c r="H599" s="0" t="s">
        <v>22</v>
      </c>
      <c r="I599" s="0" t="s">
        <v>835</v>
      </c>
    </row>
    <row customHeight="1" ht="11.25">
      <c r="A600" s="1854" t="s">
        <v>2291</v>
      </c>
      <c r="B600" s="1854" t="s">
        <v>16</v>
      </c>
      <c r="C600" s="0" t="s">
        <v>4335</v>
      </c>
      <c r="D600" s="0" t="s">
        <v>4336</v>
      </c>
      <c r="E600" s="0" t="s">
        <v>4184</v>
      </c>
      <c r="F600" s="0" t="s">
        <v>4337</v>
      </c>
      <c r="G600" s="0" t="s">
        <v>22</v>
      </c>
      <c r="H600" s="0" t="s">
        <v>22</v>
      </c>
      <c r="I600" s="0" t="s">
        <v>835</v>
      </c>
    </row>
    <row customHeight="1" ht="11.25">
      <c r="A601" s="1854" t="s">
        <v>2291</v>
      </c>
      <c r="B601" s="1854" t="s">
        <v>16</v>
      </c>
      <c r="C601" s="0" t="s">
        <v>4338</v>
      </c>
      <c r="D601" s="0" t="s">
        <v>4339</v>
      </c>
      <c r="E601" s="0" t="s">
        <v>4340</v>
      </c>
      <c r="F601" s="0" t="s">
        <v>4341</v>
      </c>
      <c r="G601" s="0" t="s">
        <v>22</v>
      </c>
      <c r="H601" s="0" t="s">
        <v>22</v>
      </c>
      <c r="I601" s="0" t="s">
        <v>835</v>
      </c>
    </row>
    <row customHeight="1" ht="11.25">
      <c r="A602" s="1854" t="s">
        <v>2291</v>
      </c>
      <c r="B602" s="1854" t="s">
        <v>16</v>
      </c>
      <c r="C602" s="0" t="s">
        <v>2292</v>
      </c>
      <c r="D602" s="0" t="s">
        <v>2293</v>
      </c>
      <c r="E602" s="0" t="s">
        <v>2294</v>
      </c>
      <c r="F602" s="0" t="s">
        <v>2295</v>
      </c>
      <c r="G602" s="0" t="s">
        <v>2296</v>
      </c>
      <c r="H602" s="0" t="s">
        <v>22</v>
      </c>
      <c r="I602" s="0" t="s">
        <v>921</v>
      </c>
    </row>
    <row customHeight="1" ht="11.25">
      <c r="A603" s="1854" t="s">
        <v>2291</v>
      </c>
      <c r="B603" s="1854" t="s">
        <v>16</v>
      </c>
      <c r="C603" s="0" t="s">
        <v>2301</v>
      </c>
      <c r="D603" s="0" t="s">
        <v>2302</v>
      </c>
      <c r="E603" s="0" t="s">
        <v>2303</v>
      </c>
      <c r="F603" s="0" t="s">
        <v>2304</v>
      </c>
      <c r="G603" s="0" t="s">
        <v>2305</v>
      </c>
      <c r="H603" s="0" t="s">
        <v>22</v>
      </c>
      <c r="I603" s="0" t="s">
        <v>921</v>
      </c>
    </row>
    <row customHeight="1" ht="11.25">
      <c r="A604" s="1854" t="s">
        <v>2291</v>
      </c>
      <c r="B604" s="1854" t="s">
        <v>16</v>
      </c>
      <c r="C604" s="0" t="s">
        <v>2306</v>
      </c>
      <c r="D604" s="0" t="s">
        <v>2307</v>
      </c>
      <c r="E604" s="0" t="s">
        <v>2308</v>
      </c>
      <c r="F604" s="0" t="s">
        <v>2309</v>
      </c>
      <c r="G604" s="0" t="s">
        <v>22</v>
      </c>
      <c r="H604" s="0" t="s">
        <v>22</v>
      </c>
      <c r="I604" s="0" t="s">
        <v>921</v>
      </c>
    </row>
    <row customHeight="1" ht="11.25">
      <c r="A605" s="1854" t="s">
        <v>2291</v>
      </c>
      <c r="B605" s="1854" t="s">
        <v>16</v>
      </c>
      <c r="C605" s="0" t="s">
        <v>2324</v>
      </c>
      <c r="D605" s="0" t="s">
        <v>2325</v>
      </c>
      <c r="E605" s="0" t="s">
        <v>2326</v>
      </c>
      <c r="F605" s="0" t="s">
        <v>2327</v>
      </c>
      <c r="G605" s="0" t="s">
        <v>22</v>
      </c>
      <c r="H605" s="0" t="s">
        <v>22</v>
      </c>
      <c r="I605" s="0" t="s">
        <v>921</v>
      </c>
    </row>
    <row customHeight="1" ht="11.25">
      <c r="A606" s="1854" t="s">
        <v>2291</v>
      </c>
      <c r="B606" s="1854" t="s">
        <v>16</v>
      </c>
      <c r="C606" s="0" t="s">
        <v>2328</v>
      </c>
      <c r="D606" s="0" t="s">
        <v>2329</v>
      </c>
      <c r="E606" s="0" t="s">
        <v>2330</v>
      </c>
      <c r="F606" s="0" t="s">
        <v>2331</v>
      </c>
      <c r="G606" s="0" t="s">
        <v>22</v>
      </c>
      <c r="H606" s="0" t="s">
        <v>22</v>
      </c>
      <c r="I606" s="0" t="s">
        <v>921</v>
      </c>
    </row>
    <row customHeight="1" ht="11.25">
      <c r="A607" s="1854" t="s">
        <v>2291</v>
      </c>
      <c r="B607" s="1854" t="s">
        <v>16</v>
      </c>
      <c r="C607" s="0" t="s">
        <v>2356</v>
      </c>
      <c r="D607" s="0" t="s">
        <v>2357</v>
      </c>
      <c r="E607" s="0" t="s">
        <v>2358</v>
      </c>
      <c r="F607" s="0" t="s">
        <v>2359</v>
      </c>
      <c r="G607" s="0" t="s">
        <v>22</v>
      </c>
      <c r="H607" s="0" t="s">
        <v>22</v>
      </c>
      <c r="I607" s="0" t="s">
        <v>921</v>
      </c>
    </row>
    <row customHeight="1" ht="11.25">
      <c r="A608" s="1854" t="s">
        <v>2291</v>
      </c>
      <c r="B608" s="1854" t="s">
        <v>16</v>
      </c>
      <c r="C608" s="0" t="s">
        <v>2367</v>
      </c>
      <c r="D608" s="0" t="s">
        <v>2368</v>
      </c>
      <c r="E608" s="0" t="s">
        <v>2365</v>
      </c>
      <c r="F608" s="0" t="s">
        <v>2369</v>
      </c>
      <c r="G608" s="0" t="s">
        <v>2370</v>
      </c>
      <c r="H608" s="0" t="s">
        <v>22</v>
      </c>
      <c r="I608" s="0" t="s">
        <v>921</v>
      </c>
    </row>
    <row customHeight="1" ht="11.25">
      <c r="A609" s="1854" t="s">
        <v>2291</v>
      </c>
      <c r="B609" s="1854" t="s">
        <v>16</v>
      </c>
      <c r="C609" s="0" t="s">
        <v>2371</v>
      </c>
      <c r="D609" s="0" t="s">
        <v>2372</v>
      </c>
      <c r="E609" s="0" t="s">
        <v>2373</v>
      </c>
      <c r="F609" s="0" t="s">
        <v>2318</v>
      </c>
      <c r="G609" s="0" t="s">
        <v>22</v>
      </c>
      <c r="H609" s="0" t="s">
        <v>22</v>
      </c>
      <c r="I609" s="0" t="s">
        <v>921</v>
      </c>
    </row>
    <row customHeight="1" ht="11.25">
      <c r="A610" s="1854" t="s">
        <v>2291</v>
      </c>
      <c r="B610" s="1854" t="s">
        <v>16</v>
      </c>
      <c r="C610" s="0" t="s">
        <v>2382</v>
      </c>
      <c r="D610" s="0" t="s">
        <v>2383</v>
      </c>
      <c r="E610" s="0" t="s">
        <v>2384</v>
      </c>
      <c r="F610" s="0" t="s">
        <v>2313</v>
      </c>
      <c r="G610" s="0" t="s">
        <v>2385</v>
      </c>
      <c r="H610" s="0" t="s">
        <v>22</v>
      </c>
      <c r="I610" s="0" t="s">
        <v>921</v>
      </c>
    </row>
    <row customHeight="1" ht="11.25">
      <c r="A611" s="1854" t="s">
        <v>2291</v>
      </c>
      <c r="B611" s="1854" t="s">
        <v>16</v>
      </c>
      <c r="C611" s="0" t="s">
        <v>2390</v>
      </c>
      <c r="D611" s="0" t="s">
        <v>2391</v>
      </c>
      <c r="E611" s="0" t="s">
        <v>2392</v>
      </c>
      <c r="F611" s="0" t="s">
        <v>2393</v>
      </c>
      <c r="G611" s="0" t="s">
        <v>2394</v>
      </c>
      <c r="H611" s="0" t="s">
        <v>22</v>
      </c>
      <c r="I611" s="0" t="s">
        <v>921</v>
      </c>
    </row>
    <row customHeight="1" ht="11.25">
      <c r="A612" s="1854" t="s">
        <v>2291</v>
      </c>
      <c r="B612" s="1854" t="s">
        <v>16</v>
      </c>
      <c r="C612" s="0" t="s">
        <v>2395</v>
      </c>
      <c r="D612" s="0" t="s">
        <v>2396</v>
      </c>
      <c r="E612" s="0" t="s">
        <v>2397</v>
      </c>
      <c r="F612" s="0" t="s">
        <v>2389</v>
      </c>
      <c r="G612" s="0" t="s">
        <v>22</v>
      </c>
      <c r="H612" s="0" t="s">
        <v>22</v>
      </c>
      <c r="I612" s="0" t="s">
        <v>921</v>
      </c>
    </row>
    <row customHeight="1" ht="11.25">
      <c r="A613" s="1854" t="s">
        <v>2291</v>
      </c>
      <c r="B613" s="1854" t="s">
        <v>16</v>
      </c>
      <c r="C613" s="0" t="s">
        <v>2410</v>
      </c>
      <c r="D613" s="0" t="s">
        <v>2411</v>
      </c>
      <c r="E613" s="0" t="s">
        <v>2412</v>
      </c>
      <c r="F613" s="0" t="s">
        <v>2359</v>
      </c>
      <c r="G613" s="0" t="s">
        <v>22</v>
      </c>
      <c r="H613" s="0" t="s">
        <v>22</v>
      </c>
      <c r="I613" s="0" t="s">
        <v>921</v>
      </c>
    </row>
    <row customHeight="1" ht="11.25">
      <c r="A614" s="1854" t="s">
        <v>2291</v>
      </c>
      <c r="B614" s="1854" t="s">
        <v>16</v>
      </c>
      <c r="C614" s="0" t="s">
        <v>2449</v>
      </c>
      <c r="D614" s="0" t="s">
        <v>2450</v>
      </c>
      <c r="E614" s="0" t="s">
        <v>2451</v>
      </c>
      <c r="F614" s="0" t="s">
        <v>2393</v>
      </c>
      <c r="G614" s="0" t="s">
        <v>22</v>
      </c>
      <c r="H614" s="0" t="s">
        <v>22</v>
      </c>
      <c r="I614" s="0" t="s">
        <v>921</v>
      </c>
    </row>
    <row customHeight="1" ht="11.25">
      <c r="A615" s="1854" t="s">
        <v>2291</v>
      </c>
      <c r="B615" s="1854" t="s">
        <v>16</v>
      </c>
      <c r="C615" s="0" t="s">
        <v>2456</v>
      </c>
      <c r="D615" s="0" t="s">
        <v>2457</v>
      </c>
      <c r="E615" s="0" t="s">
        <v>2458</v>
      </c>
      <c r="F615" s="0" t="s">
        <v>2405</v>
      </c>
      <c r="G615" s="0" t="s">
        <v>2459</v>
      </c>
      <c r="H615" s="0" t="s">
        <v>22</v>
      </c>
      <c r="I615" s="0" t="s">
        <v>921</v>
      </c>
    </row>
    <row customHeight="1" ht="11.25">
      <c r="A616" s="1854" t="s">
        <v>2291</v>
      </c>
      <c r="B616" s="1854" t="s">
        <v>16</v>
      </c>
      <c r="C616" s="0" t="s">
        <v>2460</v>
      </c>
      <c r="D616" s="0" t="s">
        <v>2461</v>
      </c>
      <c r="E616" s="0" t="s">
        <v>2317</v>
      </c>
      <c r="F616" s="0" t="s">
        <v>2462</v>
      </c>
      <c r="G616" s="0" t="s">
        <v>2463</v>
      </c>
      <c r="H616" s="0" t="s">
        <v>22</v>
      </c>
      <c r="I616" s="0" t="s">
        <v>921</v>
      </c>
    </row>
    <row customHeight="1" ht="11.25">
      <c r="A617" s="1854" t="s">
        <v>2291</v>
      </c>
      <c r="B617" s="1854" t="s">
        <v>16</v>
      </c>
      <c r="C617" s="0" t="s">
        <v>2469</v>
      </c>
      <c r="D617" s="0" t="s">
        <v>2470</v>
      </c>
      <c r="E617" s="0" t="s">
        <v>2471</v>
      </c>
      <c r="F617" s="0" t="s">
        <v>2467</v>
      </c>
      <c r="G617" s="0" t="s">
        <v>2472</v>
      </c>
      <c r="H617" s="0" t="s">
        <v>22</v>
      </c>
      <c r="I617" s="0" t="s">
        <v>921</v>
      </c>
    </row>
    <row customHeight="1" ht="11.25">
      <c r="A618" s="1854" t="s">
        <v>2291</v>
      </c>
      <c r="B618" s="1854" t="s">
        <v>16</v>
      </c>
      <c r="C618" s="0" t="s">
        <v>2487</v>
      </c>
      <c r="D618" s="0" t="s">
        <v>2488</v>
      </c>
      <c r="E618" s="0" t="s">
        <v>2489</v>
      </c>
      <c r="F618" s="0" t="s">
        <v>2393</v>
      </c>
      <c r="G618" s="0" t="s">
        <v>2490</v>
      </c>
      <c r="H618" s="0" t="s">
        <v>22</v>
      </c>
      <c r="I618" s="0" t="s">
        <v>921</v>
      </c>
    </row>
    <row customHeight="1" ht="11.25">
      <c r="A619" s="1854" t="s">
        <v>2291</v>
      </c>
      <c r="B619" s="1854" t="s">
        <v>16</v>
      </c>
      <c r="C619" s="0" t="s">
        <v>2491</v>
      </c>
      <c r="D619" s="0" t="s">
        <v>2492</v>
      </c>
      <c r="E619" s="0" t="s">
        <v>2489</v>
      </c>
      <c r="F619" s="0" t="s">
        <v>2493</v>
      </c>
      <c r="G619" s="0" t="s">
        <v>22</v>
      </c>
      <c r="H619" s="0" t="s">
        <v>22</v>
      </c>
      <c r="I619" s="0" t="s">
        <v>921</v>
      </c>
    </row>
    <row customHeight="1" ht="11.25">
      <c r="A620" s="1854" t="s">
        <v>2291</v>
      </c>
      <c r="B620" s="1854" t="s">
        <v>16</v>
      </c>
      <c r="C620" s="0" t="s">
        <v>2494</v>
      </c>
      <c r="D620" s="0" t="s">
        <v>2495</v>
      </c>
      <c r="E620" s="0" t="s">
        <v>2489</v>
      </c>
      <c r="F620" s="0" t="s">
        <v>2496</v>
      </c>
      <c r="G620" s="0" t="s">
        <v>22</v>
      </c>
      <c r="H620" s="0" t="s">
        <v>22</v>
      </c>
      <c r="I620" s="0" t="s">
        <v>921</v>
      </c>
    </row>
    <row customHeight="1" ht="11.25">
      <c r="A621" s="1854" t="s">
        <v>2291</v>
      </c>
      <c r="B621" s="1854" t="s">
        <v>16</v>
      </c>
      <c r="C621" s="0" t="s">
        <v>2500</v>
      </c>
      <c r="D621" s="0" t="s">
        <v>2501</v>
      </c>
      <c r="E621" s="0" t="s">
        <v>2489</v>
      </c>
      <c r="F621" s="0" t="s">
        <v>2502</v>
      </c>
      <c r="G621" s="0" t="s">
        <v>22</v>
      </c>
      <c r="H621" s="0" t="s">
        <v>22</v>
      </c>
      <c r="I621" s="0" t="s">
        <v>921</v>
      </c>
    </row>
    <row customHeight="1" ht="11.25">
      <c r="A622" s="1854" t="s">
        <v>2291</v>
      </c>
      <c r="B622" s="1854" t="s">
        <v>16</v>
      </c>
      <c r="C622" s="0" t="s">
        <v>2509</v>
      </c>
      <c r="D622" s="0" t="s">
        <v>2510</v>
      </c>
      <c r="E622" s="0" t="s">
        <v>2489</v>
      </c>
      <c r="F622" s="0" t="s">
        <v>2511</v>
      </c>
      <c r="G622" s="0" t="s">
        <v>22</v>
      </c>
      <c r="H622" s="0" t="s">
        <v>22</v>
      </c>
      <c r="I622" s="0" t="s">
        <v>921</v>
      </c>
    </row>
    <row customHeight="1" ht="11.25">
      <c r="A623" s="1854" t="s">
        <v>2291</v>
      </c>
      <c r="B623" s="1854" t="s">
        <v>16</v>
      </c>
      <c r="C623" s="0" t="s">
        <v>2515</v>
      </c>
      <c r="D623" s="0" t="s">
        <v>2516</v>
      </c>
      <c r="E623" s="0" t="s">
        <v>2489</v>
      </c>
      <c r="F623" s="0" t="s">
        <v>2517</v>
      </c>
      <c r="G623" s="0" t="s">
        <v>22</v>
      </c>
      <c r="H623" s="0" t="s">
        <v>22</v>
      </c>
      <c r="I623" s="0" t="s">
        <v>921</v>
      </c>
    </row>
    <row customHeight="1" ht="11.25">
      <c r="A624" s="1854" t="s">
        <v>2291</v>
      </c>
      <c r="B624" s="1854" t="s">
        <v>16</v>
      </c>
      <c r="C624" s="0" t="s">
        <v>2527</v>
      </c>
      <c r="D624" s="0" t="s">
        <v>2528</v>
      </c>
      <c r="E624" s="0" t="s">
        <v>2489</v>
      </c>
      <c r="F624" s="0" t="s">
        <v>2529</v>
      </c>
      <c r="G624" s="0" t="s">
        <v>22</v>
      </c>
      <c r="H624" s="0" t="s">
        <v>22</v>
      </c>
      <c r="I624" s="0" t="s">
        <v>921</v>
      </c>
    </row>
    <row customHeight="1" ht="11.25">
      <c r="A625" s="1854" t="s">
        <v>2291</v>
      </c>
      <c r="B625" s="1854" t="s">
        <v>16</v>
      </c>
      <c r="C625" s="0" t="s">
        <v>2535</v>
      </c>
      <c r="D625" s="0" t="s">
        <v>2536</v>
      </c>
      <c r="E625" s="0" t="s">
        <v>2537</v>
      </c>
      <c r="F625" s="0" t="s">
        <v>2405</v>
      </c>
      <c r="G625" s="0" t="s">
        <v>2538</v>
      </c>
      <c r="H625" s="0" t="s">
        <v>22</v>
      </c>
      <c r="I625" s="0" t="s">
        <v>921</v>
      </c>
    </row>
    <row customHeight="1" ht="11.25">
      <c r="A626" s="1854" t="s">
        <v>2291</v>
      </c>
      <c r="B626" s="1854" t="s">
        <v>16</v>
      </c>
      <c r="C626" s="0" t="s">
        <v>2539</v>
      </c>
      <c r="D626" s="0" t="s">
        <v>2540</v>
      </c>
      <c r="E626" s="0" t="s">
        <v>2541</v>
      </c>
      <c r="F626" s="0" t="s">
        <v>2295</v>
      </c>
      <c r="G626" s="0" t="s">
        <v>2421</v>
      </c>
      <c r="H626" s="0" t="s">
        <v>22</v>
      </c>
      <c r="I626" s="0" t="s">
        <v>921</v>
      </c>
    </row>
    <row customHeight="1" ht="11.25">
      <c r="A627" s="1854" t="s">
        <v>2291</v>
      </c>
      <c r="B627" s="1854" t="s">
        <v>16</v>
      </c>
      <c r="C627" s="0" t="s">
        <v>2542</v>
      </c>
      <c r="D627" s="0" t="s">
        <v>2543</v>
      </c>
      <c r="E627" s="0" t="s">
        <v>2544</v>
      </c>
      <c r="F627" s="0" t="s">
        <v>2295</v>
      </c>
      <c r="G627" s="0" t="s">
        <v>22</v>
      </c>
      <c r="H627" s="0" t="s">
        <v>22</v>
      </c>
      <c r="I627" s="0" t="s">
        <v>921</v>
      </c>
    </row>
    <row customHeight="1" ht="11.25">
      <c r="A628" s="1854" t="s">
        <v>2291</v>
      </c>
      <c r="B628" s="1854" t="s">
        <v>16</v>
      </c>
      <c r="C628" s="0" t="s">
        <v>2545</v>
      </c>
      <c r="D628" s="0" t="s">
        <v>2546</v>
      </c>
      <c r="E628" s="0" t="s">
        <v>2547</v>
      </c>
      <c r="F628" s="0" t="s">
        <v>2313</v>
      </c>
      <c r="G628" s="0" t="s">
        <v>2548</v>
      </c>
      <c r="H628" s="0" t="s">
        <v>22</v>
      </c>
      <c r="I628" s="0" t="s">
        <v>921</v>
      </c>
    </row>
    <row customHeight="1" ht="11.25">
      <c r="A629" s="1854" t="s">
        <v>2291</v>
      </c>
      <c r="B629" s="1854" t="s">
        <v>16</v>
      </c>
      <c r="C629" s="0" t="s">
        <v>2549</v>
      </c>
      <c r="D629" s="0" t="s">
        <v>2550</v>
      </c>
      <c r="E629" s="0" t="s">
        <v>2551</v>
      </c>
      <c r="F629" s="0" t="s">
        <v>2401</v>
      </c>
      <c r="G629" s="0" t="s">
        <v>22</v>
      </c>
      <c r="H629" s="0" t="s">
        <v>22</v>
      </c>
      <c r="I629" s="0" t="s">
        <v>921</v>
      </c>
    </row>
    <row customHeight="1" ht="11.25">
      <c r="A630" s="1854" t="s">
        <v>2291</v>
      </c>
      <c r="B630" s="1854" t="s">
        <v>16</v>
      </c>
      <c r="C630" s="0" t="s">
        <v>2552</v>
      </c>
      <c r="D630" s="0" t="s">
        <v>2553</v>
      </c>
      <c r="E630" s="0" t="s">
        <v>2551</v>
      </c>
      <c r="F630" s="0" t="s">
        <v>2526</v>
      </c>
      <c r="G630" s="0" t="s">
        <v>22</v>
      </c>
      <c r="H630" s="0" t="s">
        <v>22</v>
      </c>
      <c r="I630" s="0" t="s">
        <v>921</v>
      </c>
    </row>
    <row customHeight="1" ht="11.25">
      <c r="A631" s="1854" t="s">
        <v>2291</v>
      </c>
      <c r="B631" s="1854" t="s">
        <v>16</v>
      </c>
      <c r="C631" s="0" t="s">
        <v>2557</v>
      </c>
      <c r="D631" s="0" t="s">
        <v>2558</v>
      </c>
      <c r="E631" s="0" t="s">
        <v>2551</v>
      </c>
      <c r="F631" s="0" t="s">
        <v>2559</v>
      </c>
      <c r="G631" s="0" t="s">
        <v>22</v>
      </c>
      <c r="H631" s="0" t="s">
        <v>22</v>
      </c>
      <c r="I631" s="0" t="s">
        <v>921</v>
      </c>
    </row>
    <row customHeight="1" ht="11.25">
      <c r="A632" s="1854" t="s">
        <v>2291</v>
      </c>
      <c r="B632" s="1854" t="s">
        <v>16</v>
      </c>
      <c r="C632" s="0" t="s">
        <v>2563</v>
      </c>
      <c r="D632" s="0" t="s">
        <v>2564</v>
      </c>
      <c r="E632" s="0" t="s">
        <v>2551</v>
      </c>
      <c r="F632" s="0" t="s">
        <v>2565</v>
      </c>
      <c r="G632" s="0" t="s">
        <v>22</v>
      </c>
      <c r="H632" s="0" t="s">
        <v>22</v>
      </c>
      <c r="I632" s="0" t="s">
        <v>921</v>
      </c>
    </row>
    <row customHeight="1" ht="11.25">
      <c r="A633" s="1854" t="s">
        <v>2291</v>
      </c>
      <c r="B633" s="1854" t="s">
        <v>16</v>
      </c>
      <c r="C633" s="0" t="s">
        <v>2569</v>
      </c>
      <c r="D633" s="0" t="s">
        <v>2570</v>
      </c>
      <c r="E633" s="0" t="s">
        <v>2551</v>
      </c>
      <c r="F633" s="0" t="s">
        <v>2571</v>
      </c>
      <c r="G633" s="0" t="s">
        <v>22</v>
      </c>
      <c r="H633" s="0" t="s">
        <v>22</v>
      </c>
      <c r="I633" s="0" t="s">
        <v>921</v>
      </c>
    </row>
    <row customHeight="1" ht="11.25">
      <c r="A634" s="1854" t="s">
        <v>2291</v>
      </c>
      <c r="B634" s="1854" t="s">
        <v>16</v>
      </c>
      <c r="C634" s="0" t="s">
        <v>2575</v>
      </c>
      <c r="D634" s="0" t="s">
        <v>2576</v>
      </c>
      <c r="E634" s="0" t="s">
        <v>2551</v>
      </c>
      <c r="F634" s="0" t="s">
        <v>2577</v>
      </c>
      <c r="G634" s="0" t="s">
        <v>22</v>
      </c>
      <c r="H634" s="0" t="s">
        <v>22</v>
      </c>
      <c r="I634" s="0" t="s">
        <v>921</v>
      </c>
    </row>
    <row customHeight="1" ht="11.25">
      <c r="A635" s="1854" t="s">
        <v>2291</v>
      </c>
      <c r="B635" s="1854" t="s">
        <v>16</v>
      </c>
      <c r="C635" s="0" t="s">
        <v>2578</v>
      </c>
      <c r="D635" s="0" t="s">
        <v>2579</v>
      </c>
      <c r="E635" s="0" t="s">
        <v>2551</v>
      </c>
      <c r="F635" s="0" t="s">
        <v>2580</v>
      </c>
      <c r="G635" s="0" t="s">
        <v>22</v>
      </c>
      <c r="H635" s="0" t="s">
        <v>22</v>
      </c>
      <c r="I635" s="0" t="s">
        <v>921</v>
      </c>
    </row>
    <row customHeight="1" ht="11.25">
      <c r="A636" s="1854" t="s">
        <v>2291</v>
      </c>
      <c r="B636" s="1854" t="s">
        <v>16</v>
      </c>
      <c r="C636" s="0" t="s">
        <v>2581</v>
      </c>
      <c r="D636" s="0" t="s">
        <v>2582</v>
      </c>
      <c r="E636" s="0" t="s">
        <v>2551</v>
      </c>
      <c r="F636" s="0" t="s">
        <v>2583</v>
      </c>
      <c r="G636" s="0" t="s">
        <v>22</v>
      </c>
      <c r="H636" s="0" t="s">
        <v>22</v>
      </c>
      <c r="I636" s="0" t="s">
        <v>921</v>
      </c>
    </row>
    <row customHeight="1" ht="11.25">
      <c r="A637" s="1854" t="s">
        <v>2291</v>
      </c>
      <c r="B637" s="1854" t="s">
        <v>16</v>
      </c>
      <c r="C637" s="0" t="s">
        <v>2584</v>
      </c>
      <c r="D637" s="0" t="s">
        <v>2585</v>
      </c>
      <c r="E637" s="0" t="s">
        <v>2551</v>
      </c>
      <c r="F637" s="0" t="s">
        <v>2586</v>
      </c>
      <c r="G637" s="0" t="s">
        <v>22</v>
      </c>
      <c r="H637" s="0" t="s">
        <v>22</v>
      </c>
      <c r="I637" s="0" t="s">
        <v>921</v>
      </c>
    </row>
    <row customHeight="1" ht="11.25">
      <c r="A638" s="1854" t="s">
        <v>2291</v>
      </c>
      <c r="B638" s="1854" t="s">
        <v>16</v>
      </c>
      <c r="C638" s="0" t="s">
        <v>2587</v>
      </c>
      <c r="D638" s="0" t="s">
        <v>2588</v>
      </c>
      <c r="E638" s="0" t="s">
        <v>2551</v>
      </c>
      <c r="F638" s="0" t="s">
        <v>2589</v>
      </c>
      <c r="G638" s="0" t="s">
        <v>22</v>
      </c>
      <c r="H638" s="0" t="s">
        <v>22</v>
      </c>
      <c r="I638" s="0" t="s">
        <v>921</v>
      </c>
    </row>
    <row customHeight="1" ht="11.25">
      <c r="A639" s="1854" t="s">
        <v>2291</v>
      </c>
      <c r="B639" s="1854" t="s">
        <v>16</v>
      </c>
      <c r="C639" s="0" t="s">
        <v>2590</v>
      </c>
      <c r="D639" s="0" t="s">
        <v>2591</v>
      </c>
      <c r="E639" s="0" t="s">
        <v>2551</v>
      </c>
      <c r="F639" s="0" t="s">
        <v>2592</v>
      </c>
      <c r="G639" s="0" t="s">
        <v>22</v>
      </c>
      <c r="H639" s="0" t="s">
        <v>22</v>
      </c>
      <c r="I639" s="0" t="s">
        <v>921</v>
      </c>
    </row>
    <row customHeight="1" ht="11.25">
      <c r="A640" s="1854" t="s">
        <v>2291</v>
      </c>
      <c r="B640" s="1854" t="s">
        <v>16</v>
      </c>
      <c r="C640" s="0" t="s">
        <v>2593</v>
      </c>
      <c r="D640" s="0" t="s">
        <v>2594</v>
      </c>
      <c r="E640" s="0" t="s">
        <v>2551</v>
      </c>
      <c r="F640" s="0" t="s">
        <v>2595</v>
      </c>
      <c r="G640" s="0" t="s">
        <v>22</v>
      </c>
      <c r="H640" s="0" t="s">
        <v>22</v>
      </c>
      <c r="I640" s="0" t="s">
        <v>921</v>
      </c>
    </row>
    <row customHeight="1" ht="11.25">
      <c r="A641" s="1854" t="s">
        <v>2291</v>
      </c>
      <c r="B641" s="1854" t="s">
        <v>16</v>
      </c>
      <c r="C641" s="0" t="s">
        <v>2596</v>
      </c>
      <c r="D641" s="0" t="s">
        <v>2597</v>
      </c>
      <c r="E641" s="0" t="s">
        <v>2551</v>
      </c>
      <c r="F641" s="0" t="s">
        <v>2598</v>
      </c>
      <c r="G641" s="0" t="s">
        <v>22</v>
      </c>
      <c r="H641" s="0" t="s">
        <v>22</v>
      </c>
      <c r="I641" s="0" t="s">
        <v>921</v>
      </c>
    </row>
    <row customHeight="1" ht="11.25">
      <c r="A642" s="1854" t="s">
        <v>2291</v>
      </c>
      <c r="B642" s="1854" t="s">
        <v>16</v>
      </c>
      <c r="C642" s="0" t="s">
        <v>2599</v>
      </c>
      <c r="D642" s="0" t="s">
        <v>2600</v>
      </c>
      <c r="E642" s="0" t="s">
        <v>2373</v>
      </c>
      <c r="F642" s="0" t="s">
        <v>2601</v>
      </c>
      <c r="G642" s="0" t="s">
        <v>22</v>
      </c>
      <c r="H642" s="0" t="s">
        <v>22</v>
      </c>
      <c r="I642" s="0" t="s">
        <v>921</v>
      </c>
    </row>
    <row customHeight="1" ht="11.25">
      <c r="A643" s="1854" t="s">
        <v>2291</v>
      </c>
      <c r="B643" s="1854" t="s">
        <v>16</v>
      </c>
      <c r="C643" s="0" t="s">
        <v>2602</v>
      </c>
      <c r="D643" s="0" t="s">
        <v>2603</v>
      </c>
      <c r="E643" s="0" t="s">
        <v>2604</v>
      </c>
      <c r="F643" s="0" t="s">
        <v>2605</v>
      </c>
      <c r="G643" s="0" t="s">
        <v>22</v>
      </c>
      <c r="H643" s="0" t="s">
        <v>22</v>
      </c>
      <c r="I643" s="0" t="s">
        <v>921</v>
      </c>
    </row>
    <row customHeight="1" ht="11.25">
      <c r="A644" s="1854" t="s">
        <v>2291</v>
      </c>
      <c r="B644" s="1854" t="s">
        <v>16</v>
      </c>
      <c r="C644" s="0" t="s">
        <v>2606</v>
      </c>
      <c r="D644" s="0" t="s">
        <v>2607</v>
      </c>
      <c r="E644" s="0" t="s">
        <v>2608</v>
      </c>
      <c r="F644" s="0" t="s">
        <v>2359</v>
      </c>
      <c r="G644" s="0" t="s">
        <v>22</v>
      </c>
      <c r="H644" s="0" t="s">
        <v>22</v>
      </c>
      <c r="I644" s="0" t="s">
        <v>921</v>
      </c>
    </row>
    <row customHeight="1" ht="11.25">
      <c r="A645" s="1854" t="s">
        <v>2291</v>
      </c>
      <c r="B645" s="1854" t="s">
        <v>16</v>
      </c>
      <c r="C645" s="0" t="s">
        <v>2612</v>
      </c>
      <c r="D645" s="0" t="s">
        <v>2613</v>
      </c>
      <c r="E645" s="0" t="s">
        <v>2614</v>
      </c>
      <c r="F645" s="0" t="s">
        <v>2393</v>
      </c>
      <c r="G645" s="0" t="s">
        <v>22</v>
      </c>
      <c r="H645" s="0" t="s">
        <v>22</v>
      </c>
      <c r="I645" s="0" t="s">
        <v>921</v>
      </c>
    </row>
    <row customHeight="1" ht="11.25">
      <c r="A646" s="1854" t="s">
        <v>2291</v>
      </c>
      <c r="B646" s="1854" t="s">
        <v>16</v>
      </c>
      <c r="C646" s="0" t="s">
        <v>2615</v>
      </c>
      <c r="D646" s="0" t="s">
        <v>2616</v>
      </c>
      <c r="E646" s="0" t="s">
        <v>2617</v>
      </c>
      <c r="F646" s="0" t="s">
        <v>2405</v>
      </c>
      <c r="G646" s="0" t="s">
        <v>22</v>
      </c>
      <c r="H646" s="0" t="s">
        <v>22</v>
      </c>
      <c r="I646" s="0" t="s">
        <v>921</v>
      </c>
    </row>
    <row customHeight="1" ht="11.25">
      <c r="A647" s="1854" t="s">
        <v>2291</v>
      </c>
      <c r="B647" s="1854" t="s">
        <v>16</v>
      </c>
      <c r="C647" s="0" t="s">
        <v>2622</v>
      </c>
      <c r="D647" s="0" t="s">
        <v>2623</v>
      </c>
      <c r="E647" s="0" t="s">
        <v>2624</v>
      </c>
      <c r="F647" s="0" t="s">
        <v>2405</v>
      </c>
      <c r="G647" s="0" t="s">
        <v>2625</v>
      </c>
      <c r="H647" s="0" t="s">
        <v>2534</v>
      </c>
      <c r="I647" s="0" t="s">
        <v>921</v>
      </c>
    </row>
    <row customHeight="1" ht="11.25">
      <c r="A648" s="1854" t="s">
        <v>2291</v>
      </c>
      <c r="B648" s="1854" t="s">
        <v>16</v>
      </c>
      <c r="C648" s="0" t="s">
        <v>2633</v>
      </c>
      <c r="D648" s="0" t="s">
        <v>2634</v>
      </c>
      <c r="E648" s="0" t="s">
        <v>2635</v>
      </c>
      <c r="F648" s="0" t="s">
        <v>2632</v>
      </c>
      <c r="G648" s="0" t="s">
        <v>2636</v>
      </c>
      <c r="H648" s="0" t="s">
        <v>22</v>
      </c>
      <c r="I648" s="0" t="s">
        <v>921</v>
      </c>
    </row>
    <row customHeight="1" ht="11.25">
      <c r="A649" s="1854" t="s">
        <v>2291</v>
      </c>
      <c r="B649" s="1854" t="s">
        <v>16</v>
      </c>
      <c r="C649" s="0" t="s">
        <v>2643</v>
      </c>
      <c r="D649" s="0" t="s">
        <v>2644</v>
      </c>
      <c r="E649" s="0" t="s">
        <v>2645</v>
      </c>
      <c r="F649" s="0" t="s">
        <v>2405</v>
      </c>
      <c r="G649" s="0" t="s">
        <v>2646</v>
      </c>
      <c r="H649" s="0" t="s">
        <v>22</v>
      </c>
      <c r="I649" s="0" t="s">
        <v>921</v>
      </c>
    </row>
    <row customHeight="1" ht="11.25">
      <c r="A650" s="1854" t="s">
        <v>2291</v>
      </c>
      <c r="B650" s="1854" t="s">
        <v>16</v>
      </c>
      <c r="C650" s="0" t="s">
        <v>2647</v>
      </c>
      <c r="D650" s="0" t="s">
        <v>2648</v>
      </c>
      <c r="E650" s="0" t="s">
        <v>2649</v>
      </c>
      <c r="F650" s="0" t="s">
        <v>2416</v>
      </c>
      <c r="G650" s="0" t="s">
        <v>22</v>
      </c>
      <c r="H650" s="0" t="s">
        <v>22</v>
      </c>
      <c r="I650" s="0" t="s">
        <v>921</v>
      </c>
    </row>
    <row customHeight="1" ht="11.25">
      <c r="A651" s="1854" t="s">
        <v>2291</v>
      </c>
      <c r="B651" s="1854" t="s">
        <v>16</v>
      </c>
      <c r="C651" s="0" t="s">
        <v>2650</v>
      </c>
      <c r="D651" s="0" t="s">
        <v>2651</v>
      </c>
      <c r="E651" s="0" t="s">
        <v>2652</v>
      </c>
      <c r="F651" s="0" t="s">
        <v>2416</v>
      </c>
      <c r="G651" s="0" t="s">
        <v>2653</v>
      </c>
      <c r="H651" s="0" t="s">
        <v>22</v>
      </c>
      <c r="I651" s="0" t="s">
        <v>921</v>
      </c>
    </row>
    <row customHeight="1" ht="11.25">
      <c r="A652" s="1854" t="s">
        <v>2291</v>
      </c>
      <c r="B652" s="1854" t="s">
        <v>16</v>
      </c>
      <c r="C652" s="0" t="s">
        <v>2657</v>
      </c>
      <c r="D652" s="0" t="s">
        <v>2658</v>
      </c>
      <c r="E652" s="0" t="s">
        <v>2659</v>
      </c>
      <c r="F652" s="0" t="s">
        <v>2416</v>
      </c>
      <c r="G652" s="0" t="s">
        <v>22</v>
      </c>
      <c r="H652" s="0" t="s">
        <v>22</v>
      </c>
      <c r="I652" s="0" t="s">
        <v>921</v>
      </c>
    </row>
    <row customHeight="1" ht="11.25">
      <c r="A653" s="1854" t="s">
        <v>2291</v>
      </c>
      <c r="B653" s="1854" t="s">
        <v>16</v>
      </c>
      <c r="C653" s="0" t="s">
        <v>2663</v>
      </c>
      <c r="D653" s="0" t="s">
        <v>2664</v>
      </c>
      <c r="E653" s="0" t="s">
        <v>2665</v>
      </c>
      <c r="F653" s="0" t="s">
        <v>2359</v>
      </c>
      <c r="G653" s="0" t="s">
        <v>22</v>
      </c>
      <c r="H653" s="0" t="s">
        <v>22</v>
      </c>
      <c r="I653" s="0" t="s">
        <v>921</v>
      </c>
    </row>
    <row customHeight="1" ht="11.25">
      <c r="A654" s="1854" t="s">
        <v>2291</v>
      </c>
      <c r="B654" s="1854" t="s">
        <v>16</v>
      </c>
      <c r="C654" s="0" t="s">
        <v>2682</v>
      </c>
      <c r="D654" s="0" t="s">
        <v>2683</v>
      </c>
      <c r="E654" s="0" t="s">
        <v>2684</v>
      </c>
      <c r="F654" s="0" t="s">
        <v>2389</v>
      </c>
      <c r="G654" s="0" t="s">
        <v>22</v>
      </c>
      <c r="H654" s="0" t="s">
        <v>22</v>
      </c>
      <c r="I654" s="0" t="s">
        <v>921</v>
      </c>
    </row>
    <row customHeight="1" ht="11.25">
      <c r="A655" s="1854" t="s">
        <v>2291</v>
      </c>
      <c r="B655" s="1854" t="s">
        <v>16</v>
      </c>
      <c r="C655" s="0" t="s">
        <v>2685</v>
      </c>
      <c r="D655" s="0" t="s">
        <v>2686</v>
      </c>
      <c r="E655" s="0" t="s">
        <v>2687</v>
      </c>
      <c r="F655" s="0" t="s">
        <v>2688</v>
      </c>
      <c r="G655" s="0" t="s">
        <v>2689</v>
      </c>
      <c r="H655" s="0" t="s">
        <v>22</v>
      </c>
      <c r="I655" s="0" t="s">
        <v>921</v>
      </c>
    </row>
    <row customHeight="1" ht="11.25">
      <c r="A656" s="1854" t="s">
        <v>2291</v>
      </c>
      <c r="B656" s="1854" t="s">
        <v>16</v>
      </c>
      <c r="C656" s="0" t="s">
        <v>2690</v>
      </c>
      <c r="D656" s="0" t="s">
        <v>2691</v>
      </c>
      <c r="E656" s="0" t="s">
        <v>2692</v>
      </c>
      <c r="F656" s="0" t="s">
        <v>2389</v>
      </c>
      <c r="G656" s="0" t="s">
        <v>22</v>
      </c>
      <c r="H656" s="0" t="s">
        <v>22</v>
      </c>
      <c r="I656" s="0" t="s">
        <v>921</v>
      </c>
    </row>
    <row customHeight="1" ht="11.25">
      <c r="A657" s="1854" t="s">
        <v>2291</v>
      </c>
      <c r="B657" s="1854" t="s">
        <v>16</v>
      </c>
      <c r="C657" s="0" t="s">
        <v>2697</v>
      </c>
      <c r="D657" s="0" t="s">
        <v>2698</v>
      </c>
      <c r="E657" s="0" t="s">
        <v>2695</v>
      </c>
      <c r="F657" s="0" t="s">
        <v>2416</v>
      </c>
      <c r="G657" s="0" t="s">
        <v>2548</v>
      </c>
      <c r="H657" s="0" t="s">
        <v>22</v>
      </c>
      <c r="I657" s="0" t="s">
        <v>921</v>
      </c>
    </row>
    <row customHeight="1" ht="11.25">
      <c r="A658" s="1854" t="s">
        <v>2291</v>
      </c>
      <c r="B658" s="1854" t="s">
        <v>16</v>
      </c>
      <c r="C658" s="0" t="s">
        <v>2703</v>
      </c>
      <c r="D658" s="0" t="s">
        <v>2704</v>
      </c>
      <c r="E658" s="0" t="s">
        <v>2705</v>
      </c>
      <c r="F658" s="0" t="s">
        <v>2351</v>
      </c>
      <c r="G658" s="0" t="s">
        <v>2706</v>
      </c>
      <c r="H658" s="0" t="s">
        <v>22</v>
      </c>
      <c r="I658" s="0" t="s">
        <v>921</v>
      </c>
    </row>
    <row customHeight="1" ht="11.25">
      <c r="A659" s="1854" t="s">
        <v>2291</v>
      </c>
      <c r="B659" s="1854" t="s">
        <v>16</v>
      </c>
      <c r="C659" s="0" t="s">
        <v>2707</v>
      </c>
      <c r="D659" s="0" t="s">
        <v>2708</v>
      </c>
      <c r="E659" s="0" t="s">
        <v>2709</v>
      </c>
      <c r="F659" s="0" t="s">
        <v>2359</v>
      </c>
      <c r="G659" s="0" t="s">
        <v>22</v>
      </c>
      <c r="H659" s="0" t="s">
        <v>22</v>
      </c>
      <c r="I659" s="0" t="s">
        <v>921</v>
      </c>
    </row>
    <row customHeight="1" ht="11.25">
      <c r="A660" s="1854" t="s">
        <v>2291</v>
      </c>
      <c r="B660" s="1854" t="s">
        <v>16</v>
      </c>
      <c r="C660" s="0" t="s">
        <v>2713</v>
      </c>
      <c r="D660" s="0" t="s">
        <v>2714</v>
      </c>
      <c r="E660" s="0" t="s">
        <v>2715</v>
      </c>
      <c r="F660" s="0" t="s">
        <v>2716</v>
      </c>
      <c r="G660" s="0" t="s">
        <v>2717</v>
      </c>
      <c r="H660" s="0" t="s">
        <v>22</v>
      </c>
      <c r="I660" s="0" t="s">
        <v>921</v>
      </c>
    </row>
    <row customHeight="1" ht="11.25">
      <c r="A661" s="1854" t="s">
        <v>2291</v>
      </c>
      <c r="B661" s="1854" t="s">
        <v>16</v>
      </c>
      <c r="C661" s="0" t="s">
        <v>2744</v>
      </c>
      <c r="D661" s="0" t="s">
        <v>2745</v>
      </c>
      <c r="E661" s="0" t="s">
        <v>2746</v>
      </c>
      <c r="F661" s="0" t="s">
        <v>2416</v>
      </c>
      <c r="G661" s="0" t="s">
        <v>22</v>
      </c>
      <c r="H661" s="0" t="s">
        <v>22</v>
      </c>
      <c r="I661" s="0" t="s">
        <v>921</v>
      </c>
    </row>
    <row customHeight="1" ht="11.25">
      <c r="A662" s="1854" t="s">
        <v>2291</v>
      </c>
      <c r="B662" s="1854" t="s">
        <v>16</v>
      </c>
      <c r="C662" s="0" t="s">
        <v>2754</v>
      </c>
      <c r="D662" s="0" t="s">
        <v>2755</v>
      </c>
      <c r="E662" s="0" t="s">
        <v>2756</v>
      </c>
      <c r="F662" s="0" t="s">
        <v>2750</v>
      </c>
      <c r="G662" s="0" t="s">
        <v>22</v>
      </c>
      <c r="H662" s="0" t="s">
        <v>22</v>
      </c>
      <c r="I662" s="0" t="s">
        <v>921</v>
      </c>
    </row>
    <row customHeight="1" ht="11.25">
      <c r="A663" s="1854" t="s">
        <v>2291</v>
      </c>
      <c r="B663" s="1854" t="s">
        <v>16</v>
      </c>
      <c r="C663" s="0" t="s">
        <v>2761</v>
      </c>
      <c r="D663" s="0" t="s">
        <v>2762</v>
      </c>
      <c r="E663" s="0" t="s">
        <v>2763</v>
      </c>
      <c r="F663" s="0" t="s">
        <v>2405</v>
      </c>
      <c r="G663" s="0" t="s">
        <v>22</v>
      </c>
      <c r="H663" s="0" t="s">
        <v>22</v>
      </c>
      <c r="I663" s="0" t="s">
        <v>921</v>
      </c>
    </row>
    <row customHeight="1" ht="11.25">
      <c r="A664" s="1854" t="s">
        <v>2291</v>
      </c>
      <c r="B664" s="1854" t="s">
        <v>16</v>
      </c>
      <c r="C664" s="0" t="s">
        <v>2764</v>
      </c>
      <c r="D664" s="0" t="s">
        <v>2765</v>
      </c>
      <c r="E664" s="0" t="s">
        <v>2766</v>
      </c>
      <c r="F664" s="0" t="s">
        <v>2295</v>
      </c>
      <c r="G664" s="0" t="s">
        <v>2767</v>
      </c>
      <c r="H664" s="0" t="s">
        <v>22</v>
      </c>
      <c r="I664" s="0" t="s">
        <v>921</v>
      </c>
    </row>
    <row customHeight="1" ht="11.25">
      <c r="A665" s="1854" t="s">
        <v>2291</v>
      </c>
      <c r="B665" s="1854" t="s">
        <v>16</v>
      </c>
      <c r="C665" s="0" t="s">
        <v>2775</v>
      </c>
      <c r="D665" s="0" t="s">
        <v>2776</v>
      </c>
      <c r="E665" s="0" t="s">
        <v>2777</v>
      </c>
      <c r="F665" s="0" t="s">
        <v>2322</v>
      </c>
      <c r="G665" s="0" t="s">
        <v>22</v>
      </c>
      <c r="H665" s="0" t="s">
        <v>22</v>
      </c>
      <c r="I665" s="0" t="s">
        <v>921</v>
      </c>
    </row>
    <row customHeight="1" ht="11.25">
      <c r="A666" s="1854" t="s">
        <v>2291</v>
      </c>
      <c r="B666" s="1854" t="s">
        <v>16</v>
      </c>
      <c r="C666" s="0" t="s">
        <v>2823</v>
      </c>
      <c r="D666" s="0" t="s">
        <v>2824</v>
      </c>
      <c r="E666" s="0" t="s">
        <v>2825</v>
      </c>
      <c r="F666" s="0" t="s">
        <v>2359</v>
      </c>
      <c r="G666" s="0" t="s">
        <v>2826</v>
      </c>
      <c r="H666" s="0" t="s">
        <v>22</v>
      </c>
      <c r="I666" s="0" t="s">
        <v>921</v>
      </c>
    </row>
    <row customHeight="1" ht="11.25">
      <c r="A667" s="1854" t="s">
        <v>2291</v>
      </c>
      <c r="B667" s="1854" t="s">
        <v>16</v>
      </c>
      <c r="C667" s="0" t="s">
        <v>2844</v>
      </c>
      <c r="D667" s="0" t="s">
        <v>2845</v>
      </c>
      <c r="E667" s="0" t="s">
        <v>2846</v>
      </c>
      <c r="F667" s="0" t="s">
        <v>572</v>
      </c>
      <c r="G667" s="0" t="s">
        <v>22</v>
      </c>
      <c r="H667" s="0" t="s">
        <v>22</v>
      </c>
      <c r="I667" s="0" t="s">
        <v>921</v>
      </c>
    </row>
    <row customHeight="1" ht="11.25">
      <c r="A668" s="1854" t="s">
        <v>2291</v>
      </c>
      <c r="B668" s="1854" t="s">
        <v>16</v>
      </c>
      <c r="C668" s="0" t="s">
        <v>2859</v>
      </c>
      <c r="D668" s="0" t="s">
        <v>2860</v>
      </c>
      <c r="E668" s="0" t="s">
        <v>2861</v>
      </c>
      <c r="F668" s="0" t="s">
        <v>572</v>
      </c>
      <c r="G668" s="0" t="s">
        <v>22</v>
      </c>
      <c r="H668" s="0" t="s">
        <v>22</v>
      </c>
      <c r="I668" s="0" t="s">
        <v>921</v>
      </c>
    </row>
    <row customHeight="1" ht="11.25">
      <c r="A669" s="1854" t="s">
        <v>2291</v>
      </c>
      <c r="B669" s="1854" t="s">
        <v>16</v>
      </c>
      <c r="C669" s="0" t="s">
        <v>2890</v>
      </c>
      <c r="D669" s="0" t="s">
        <v>2891</v>
      </c>
      <c r="E669" s="0" t="s">
        <v>2892</v>
      </c>
      <c r="F669" s="0" t="s">
        <v>2467</v>
      </c>
      <c r="G669" s="0" t="s">
        <v>22</v>
      </c>
      <c r="H669" s="0" t="s">
        <v>22</v>
      </c>
      <c r="I669" s="0" t="s">
        <v>921</v>
      </c>
    </row>
    <row customHeight="1" ht="11.25">
      <c r="A670" s="1854" t="s">
        <v>2291</v>
      </c>
      <c r="B670" s="1854" t="s">
        <v>16</v>
      </c>
      <c r="C670" s="0" t="s">
        <v>2902</v>
      </c>
      <c r="D670" s="0" t="s">
        <v>2903</v>
      </c>
      <c r="E670" s="0" t="s">
        <v>2904</v>
      </c>
      <c r="F670" s="0" t="s">
        <v>2420</v>
      </c>
      <c r="G670" s="0" t="s">
        <v>2905</v>
      </c>
      <c r="H670" s="0" t="s">
        <v>22</v>
      </c>
      <c r="I670" s="0" t="s">
        <v>921</v>
      </c>
    </row>
    <row customHeight="1" ht="11.25">
      <c r="A671" s="1854" t="s">
        <v>2291</v>
      </c>
      <c r="B671" s="1854" t="s">
        <v>16</v>
      </c>
      <c r="C671" s="0" t="s">
        <v>2919</v>
      </c>
      <c r="D671" s="0" t="s">
        <v>2920</v>
      </c>
      <c r="E671" s="0" t="s">
        <v>2921</v>
      </c>
      <c r="F671" s="0" t="s">
        <v>2351</v>
      </c>
      <c r="G671" s="0" t="s">
        <v>22</v>
      </c>
      <c r="H671" s="0" t="s">
        <v>22</v>
      </c>
      <c r="I671" s="0" t="s">
        <v>921</v>
      </c>
    </row>
    <row customHeight="1" ht="11.25">
      <c r="A672" s="1854" t="s">
        <v>2291</v>
      </c>
      <c r="B672" s="1854" t="s">
        <v>16</v>
      </c>
      <c r="C672" s="0" t="s">
        <v>2922</v>
      </c>
      <c r="D672" s="0" t="s">
        <v>2923</v>
      </c>
      <c r="E672" s="0" t="s">
        <v>2924</v>
      </c>
      <c r="F672" s="0" t="s">
        <v>2313</v>
      </c>
      <c r="G672" s="0" t="s">
        <v>22</v>
      </c>
      <c r="H672" s="0" t="s">
        <v>22</v>
      </c>
      <c r="I672" s="0" t="s">
        <v>921</v>
      </c>
    </row>
    <row customHeight="1" ht="11.25">
      <c r="A673" s="1854" t="s">
        <v>2291</v>
      </c>
      <c r="B673" s="1854" t="s">
        <v>16</v>
      </c>
      <c r="C673" s="0" t="s">
        <v>2928</v>
      </c>
      <c r="D673" s="0" t="s">
        <v>2929</v>
      </c>
      <c r="E673" s="0" t="s">
        <v>2930</v>
      </c>
      <c r="F673" s="0" t="s">
        <v>2377</v>
      </c>
      <c r="G673" s="0" t="s">
        <v>22</v>
      </c>
      <c r="H673" s="0" t="s">
        <v>22</v>
      </c>
      <c r="I673" s="0" t="s">
        <v>921</v>
      </c>
    </row>
    <row customHeight="1" ht="11.25">
      <c r="A674" s="1854" t="s">
        <v>2291</v>
      </c>
      <c r="B674" s="1854" t="s">
        <v>16</v>
      </c>
      <c r="C674" s="0" t="s">
        <v>2934</v>
      </c>
      <c r="D674" s="0" t="s">
        <v>2935</v>
      </c>
      <c r="E674" s="0" t="s">
        <v>2936</v>
      </c>
      <c r="F674" s="0" t="s">
        <v>2750</v>
      </c>
      <c r="G674" s="0" t="s">
        <v>22</v>
      </c>
      <c r="H674" s="0" t="s">
        <v>22</v>
      </c>
      <c r="I674" s="0" t="s">
        <v>921</v>
      </c>
    </row>
    <row customHeight="1" ht="11.25">
      <c r="A675" s="1854" t="s">
        <v>2291</v>
      </c>
      <c r="B675" s="1854" t="s">
        <v>16</v>
      </c>
      <c r="C675" s="0" t="s">
        <v>2937</v>
      </c>
      <c r="D675" s="0" t="s">
        <v>2938</v>
      </c>
      <c r="E675" s="0" t="s">
        <v>2939</v>
      </c>
      <c r="F675" s="0" t="s">
        <v>2750</v>
      </c>
      <c r="G675" s="0" t="s">
        <v>22</v>
      </c>
      <c r="H675" s="0" t="s">
        <v>22</v>
      </c>
      <c r="I675" s="0" t="s">
        <v>921</v>
      </c>
    </row>
    <row customHeight="1" ht="11.25">
      <c r="A676" s="1854" t="s">
        <v>2291</v>
      </c>
      <c r="B676" s="1854" t="s">
        <v>16</v>
      </c>
      <c r="C676" s="0" t="s">
        <v>2943</v>
      </c>
      <c r="D676" s="0" t="s">
        <v>2944</v>
      </c>
      <c r="E676" s="0" t="s">
        <v>2945</v>
      </c>
      <c r="F676" s="0" t="s">
        <v>2351</v>
      </c>
      <c r="G676" s="0" t="s">
        <v>22</v>
      </c>
      <c r="H676" s="0" t="s">
        <v>22</v>
      </c>
      <c r="I676" s="0" t="s">
        <v>921</v>
      </c>
    </row>
    <row customHeight="1" ht="11.25">
      <c r="A677" s="1854" t="s">
        <v>2291</v>
      </c>
      <c r="B677" s="1854" t="s">
        <v>16</v>
      </c>
      <c r="C677" s="0" t="s">
        <v>2946</v>
      </c>
      <c r="D677" s="0" t="s">
        <v>2947</v>
      </c>
      <c r="E677" s="0" t="s">
        <v>2948</v>
      </c>
      <c r="F677" s="0" t="s">
        <v>2351</v>
      </c>
      <c r="G677" s="0" t="s">
        <v>22</v>
      </c>
      <c r="H677" s="0" t="s">
        <v>22</v>
      </c>
      <c r="I677" s="0" t="s">
        <v>921</v>
      </c>
    </row>
    <row customHeight="1" ht="11.25">
      <c r="A678" s="1854" t="s">
        <v>2291</v>
      </c>
      <c r="B678" s="1854" t="s">
        <v>16</v>
      </c>
      <c r="C678" s="0" t="s">
        <v>2949</v>
      </c>
      <c r="D678" s="0" t="s">
        <v>2950</v>
      </c>
      <c r="E678" s="0" t="s">
        <v>2951</v>
      </c>
      <c r="F678" s="0" t="s">
        <v>2640</v>
      </c>
      <c r="G678" s="0" t="s">
        <v>22</v>
      </c>
      <c r="H678" s="0" t="s">
        <v>22</v>
      </c>
      <c r="I678" s="0" t="s">
        <v>921</v>
      </c>
    </row>
    <row customHeight="1" ht="11.25">
      <c r="A679" s="1854" t="s">
        <v>2291</v>
      </c>
      <c r="B679" s="1854" t="s">
        <v>16</v>
      </c>
      <c r="C679" s="0" t="s">
        <v>2952</v>
      </c>
      <c r="D679" s="0" t="s">
        <v>2953</v>
      </c>
      <c r="E679" s="0" t="s">
        <v>2954</v>
      </c>
      <c r="F679" s="0" t="s">
        <v>2309</v>
      </c>
      <c r="G679" s="0" t="s">
        <v>22</v>
      </c>
      <c r="H679" s="0" t="s">
        <v>22</v>
      </c>
      <c r="I679" s="0" t="s">
        <v>921</v>
      </c>
    </row>
    <row customHeight="1" ht="11.25">
      <c r="A680" s="1854" t="s">
        <v>2291</v>
      </c>
      <c r="B680" s="1854" t="s">
        <v>16</v>
      </c>
      <c r="C680" s="0" t="s">
        <v>2955</v>
      </c>
      <c r="D680" s="0" t="s">
        <v>2956</v>
      </c>
      <c r="E680" s="0" t="s">
        <v>2957</v>
      </c>
      <c r="F680" s="0" t="s">
        <v>2420</v>
      </c>
      <c r="G680" s="0" t="s">
        <v>22</v>
      </c>
      <c r="H680" s="0" t="s">
        <v>22</v>
      </c>
      <c r="I680" s="0" t="s">
        <v>921</v>
      </c>
    </row>
    <row customHeight="1" ht="11.25">
      <c r="A681" s="1854" t="s">
        <v>2291</v>
      </c>
      <c r="B681" s="1854" t="s">
        <v>16</v>
      </c>
      <c r="C681" s="0" t="s">
        <v>2958</v>
      </c>
      <c r="D681" s="0" t="s">
        <v>2959</v>
      </c>
      <c r="E681" s="0" t="s">
        <v>2960</v>
      </c>
      <c r="F681" s="0" t="s">
        <v>2309</v>
      </c>
      <c r="G681" s="0" t="s">
        <v>22</v>
      </c>
      <c r="H681" s="0" t="s">
        <v>22</v>
      </c>
      <c r="I681" s="0" t="s">
        <v>921</v>
      </c>
    </row>
    <row customHeight="1" ht="11.25">
      <c r="A682" s="1854" t="s">
        <v>2291</v>
      </c>
      <c r="B682" s="1854" t="s">
        <v>16</v>
      </c>
      <c r="C682" s="0" t="s">
        <v>2970</v>
      </c>
      <c r="D682" s="0" t="s">
        <v>2971</v>
      </c>
      <c r="E682" s="0" t="s">
        <v>2972</v>
      </c>
      <c r="F682" s="0" t="s">
        <v>2420</v>
      </c>
      <c r="G682" s="0" t="s">
        <v>22</v>
      </c>
      <c r="H682" s="0" t="s">
        <v>22</v>
      </c>
      <c r="I682" s="0" t="s">
        <v>921</v>
      </c>
    </row>
    <row customHeight="1" ht="11.25">
      <c r="A683" s="1854" t="s">
        <v>2291</v>
      </c>
      <c r="B683" s="1854" t="s">
        <v>16</v>
      </c>
      <c r="C683" s="0" t="s">
        <v>2973</v>
      </c>
      <c r="D683" s="0" t="s">
        <v>2974</v>
      </c>
      <c r="E683" s="0" t="s">
        <v>2975</v>
      </c>
      <c r="F683" s="0" t="s">
        <v>2640</v>
      </c>
      <c r="G683" s="0" t="s">
        <v>22</v>
      </c>
      <c r="H683" s="0" t="s">
        <v>22</v>
      </c>
      <c r="I683" s="0" t="s">
        <v>921</v>
      </c>
    </row>
    <row customHeight="1" ht="11.25">
      <c r="A684" s="1854" t="s">
        <v>2291</v>
      </c>
      <c r="B684" s="1854" t="s">
        <v>16</v>
      </c>
      <c r="C684" s="0" t="s">
        <v>2976</v>
      </c>
      <c r="D684" s="0" t="s">
        <v>2977</v>
      </c>
      <c r="E684" s="0" t="s">
        <v>2978</v>
      </c>
      <c r="F684" s="0" t="s">
        <v>2467</v>
      </c>
      <c r="G684" s="0" t="s">
        <v>2979</v>
      </c>
      <c r="H684" s="0" t="s">
        <v>22</v>
      </c>
      <c r="I684" s="0" t="s">
        <v>921</v>
      </c>
    </row>
    <row customHeight="1" ht="11.25">
      <c r="A685" s="1854" t="s">
        <v>2291</v>
      </c>
      <c r="B685" s="1854" t="s">
        <v>16</v>
      </c>
      <c r="C685" s="0" t="s">
        <v>2983</v>
      </c>
      <c r="D685" s="0" t="s">
        <v>2984</v>
      </c>
      <c r="E685" s="0" t="s">
        <v>2985</v>
      </c>
      <c r="F685" s="0" t="s">
        <v>2632</v>
      </c>
      <c r="G685" s="0" t="s">
        <v>22</v>
      </c>
      <c r="H685" s="0" t="s">
        <v>22</v>
      </c>
      <c r="I685" s="0" t="s">
        <v>921</v>
      </c>
    </row>
    <row customHeight="1" ht="11.25">
      <c r="A686" s="1854" t="s">
        <v>2291</v>
      </c>
      <c r="B686" s="1854" t="s">
        <v>16</v>
      </c>
      <c r="C686" s="0" t="s">
        <v>2986</v>
      </c>
      <c r="D686" s="0" t="s">
        <v>2987</v>
      </c>
      <c r="E686" s="0" t="s">
        <v>2988</v>
      </c>
      <c r="F686" s="0" t="s">
        <v>2416</v>
      </c>
      <c r="G686" s="0" t="s">
        <v>22</v>
      </c>
      <c r="H686" s="0" t="s">
        <v>22</v>
      </c>
      <c r="I686" s="0" t="s">
        <v>921</v>
      </c>
    </row>
    <row customHeight="1" ht="11.25">
      <c r="A687" s="1854" t="s">
        <v>2291</v>
      </c>
      <c r="B687" s="1854" t="s">
        <v>16</v>
      </c>
      <c r="C687" s="0" t="s">
        <v>2989</v>
      </c>
      <c r="D687" s="0" t="s">
        <v>2990</v>
      </c>
      <c r="E687" s="0" t="s">
        <v>2991</v>
      </c>
      <c r="F687" s="0" t="s">
        <v>2351</v>
      </c>
      <c r="G687" s="0" t="s">
        <v>22</v>
      </c>
      <c r="H687" s="0" t="s">
        <v>22</v>
      </c>
      <c r="I687" s="0" t="s">
        <v>921</v>
      </c>
    </row>
    <row customHeight="1" ht="11.25">
      <c r="A688" s="1854" t="s">
        <v>2291</v>
      </c>
      <c r="B688" s="1854" t="s">
        <v>16</v>
      </c>
      <c r="C688" s="0" t="s">
        <v>2995</v>
      </c>
      <c r="D688" s="0" t="s">
        <v>2996</v>
      </c>
      <c r="E688" s="0" t="s">
        <v>2997</v>
      </c>
      <c r="F688" s="0" t="s">
        <v>2632</v>
      </c>
      <c r="G688" s="0" t="s">
        <v>22</v>
      </c>
      <c r="H688" s="0" t="s">
        <v>22</v>
      </c>
      <c r="I688" s="0" t="s">
        <v>921</v>
      </c>
    </row>
    <row customHeight="1" ht="11.25">
      <c r="A689" s="1854" t="s">
        <v>2291</v>
      </c>
      <c r="B689" s="1854" t="s">
        <v>16</v>
      </c>
      <c r="C689" s="0" t="s">
        <v>2998</v>
      </c>
      <c r="D689" s="0" t="s">
        <v>2999</v>
      </c>
      <c r="E689" s="0" t="s">
        <v>3000</v>
      </c>
      <c r="F689" s="0" t="s">
        <v>2377</v>
      </c>
      <c r="G689" s="0" t="s">
        <v>22</v>
      </c>
      <c r="H689" s="0" t="s">
        <v>22</v>
      </c>
      <c r="I689" s="0" t="s">
        <v>921</v>
      </c>
    </row>
    <row customHeight="1" ht="11.25">
      <c r="A690" s="1854" t="s">
        <v>2291</v>
      </c>
      <c r="B690" s="1854" t="s">
        <v>16</v>
      </c>
      <c r="C690" s="0" t="s">
        <v>3001</v>
      </c>
      <c r="D690" s="0" t="s">
        <v>3002</v>
      </c>
      <c r="E690" s="0" t="s">
        <v>3003</v>
      </c>
      <c r="F690" s="0" t="s">
        <v>2640</v>
      </c>
      <c r="G690" s="0" t="s">
        <v>22</v>
      </c>
      <c r="H690" s="0" t="s">
        <v>22</v>
      </c>
      <c r="I690" s="0" t="s">
        <v>921</v>
      </c>
    </row>
    <row customHeight="1" ht="11.25">
      <c r="A691" s="1854" t="s">
        <v>2291</v>
      </c>
      <c r="B691" s="1854" t="s">
        <v>16</v>
      </c>
      <c r="C691" s="0" t="s">
        <v>3004</v>
      </c>
      <c r="D691" s="0" t="s">
        <v>3005</v>
      </c>
      <c r="E691" s="0" t="s">
        <v>3006</v>
      </c>
      <c r="F691" s="0" t="s">
        <v>2322</v>
      </c>
      <c r="G691" s="0" t="s">
        <v>22</v>
      </c>
      <c r="H691" s="0" t="s">
        <v>22</v>
      </c>
      <c r="I691" s="0" t="s">
        <v>921</v>
      </c>
    </row>
    <row customHeight="1" ht="11.25">
      <c r="A692" s="1854" t="s">
        <v>2291</v>
      </c>
      <c r="B692" s="1854" t="s">
        <v>16</v>
      </c>
      <c r="C692" s="0" t="s">
        <v>3053</v>
      </c>
      <c r="D692" s="0" t="s">
        <v>3054</v>
      </c>
      <c r="E692" s="0" t="s">
        <v>3055</v>
      </c>
      <c r="F692" s="0" t="s">
        <v>2420</v>
      </c>
      <c r="G692" s="0" t="s">
        <v>22</v>
      </c>
      <c r="H692" s="0" t="s">
        <v>22</v>
      </c>
      <c r="I692" s="0" t="s">
        <v>921</v>
      </c>
    </row>
    <row customHeight="1" ht="11.25">
      <c r="A693" s="1854" t="s">
        <v>2291</v>
      </c>
      <c r="B693" s="1854" t="s">
        <v>16</v>
      </c>
      <c r="C693" s="0" t="s">
        <v>3056</v>
      </c>
      <c r="D693" s="0" t="s">
        <v>3057</v>
      </c>
      <c r="E693" s="0" t="s">
        <v>3058</v>
      </c>
      <c r="F693" s="0" t="s">
        <v>2295</v>
      </c>
      <c r="G693" s="0" t="s">
        <v>3059</v>
      </c>
      <c r="H693" s="0" t="s">
        <v>22</v>
      </c>
      <c r="I693" s="0" t="s">
        <v>921</v>
      </c>
    </row>
    <row customHeight="1" ht="11.25">
      <c r="A694" s="1854" t="s">
        <v>2291</v>
      </c>
      <c r="B694" s="1854" t="s">
        <v>16</v>
      </c>
      <c r="C694" s="0" t="s">
        <v>3060</v>
      </c>
      <c r="D694" s="0" t="s">
        <v>3061</v>
      </c>
      <c r="E694" s="0" t="s">
        <v>3062</v>
      </c>
      <c r="F694" s="0" t="s">
        <v>2309</v>
      </c>
      <c r="G694" s="0" t="s">
        <v>3063</v>
      </c>
      <c r="H694" s="0" t="s">
        <v>22</v>
      </c>
      <c r="I694" s="0" t="s">
        <v>921</v>
      </c>
    </row>
    <row customHeight="1" ht="11.25">
      <c r="A695" s="1854" t="s">
        <v>2291</v>
      </c>
      <c r="B695" s="1854" t="s">
        <v>16</v>
      </c>
      <c r="C695" s="0" t="s">
        <v>3067</v>
      </c>
      <c r="D695" s="0" t="s">
        <v>3068</v>
      </c>
      <c r="E695" s="0" t="s">
        <v>3069</v>
      </c>
      <c r="F695" s="0" t="s">
        <v>2351</v>
      </c>
      <c r="G695" s="0" t="s">
        <v>3070</v>
      </c>
      <c r="H695" s="0" t="s">
        <v>22</v>
      </c>
      <c r="I695" s="0" t="s">
        <v>921</v>
      </c>
    </row>
    <row customHeight="1" ht="11.25">
      <c r="A696" s="1854" t="s">
        <v>2291</v>
      </c>
      <c r="B696" s="1854" t="s">
        <v>16</v>
      </c>
      <c r="C696" s="0" t="s">
        <v>3071</v>
      </c>
      <c r="D696" s="0" t="s">
        <v>3072</v>
      </c>
      <c r="E696" s="0" t="s">
        <v>3073</v>
      </c>
      <c r="F696" s="0" t="s">
        <v>2420</v>
      </c>
      <c r="G696" s="0" t="s">
        <v>3074</v>
      </c>
      <c r="H696" s="0" t="s">
        <v>22</v>
      </c>
      <c r="I696" s="0" t="s">
        <v>921</v>
      </c>
    </row>
    <row customHeight="1" ht="11.25">
      <c r="A697" s="1854" t="s">
        <v>2291</v>
      </c>
      <c r="B697" s="1854" t="s">
        <v>16</v>
      </c>
      <c r="C697" s="0" t="s">
        <v>3075</v>
      </c>
      <c r="D697" s="0" t="s">
        <v>3076</v>
      </c>
      <c r="E697" s="0" t="s">
        <v>3077</v>
      </c>
      <c r="F697" s="0" t="s">
        <v>2401</v>
      </c>
      <c r="G697" s="0" t="s">
        <v>3078</v>
      </c>
      <c r="H697" s="0" t="s">
        <v>22</v>
      </c>
      <c r="I697" s="0" t="s">
        <v>921</v>
      </c>
    </row>
    <row customHeight="1" ht="11.25">
      <c r="A698" s="1854" t="s">
        <v>2291</v>
      </c>
      <c r="B698" s="1854" t="s">
        <v>16</v>
      </c>
      <c r="C698" s="0" t="s">
        <v>3089</v>
      </c>
      <c r="D698" s="0" t="s">
        <v>3090</v>
      </c>
      <c r="E698" s="0" t="s">
        <v>3091</v>
      </c>
      <c r="F698" s="0" t="s">
        <v>2788</v>
      </c>
      <c r="G698" s="0" t="s">
        <v>3092</v>
      </c>
      <c r="H698" s="0" t="s">
        <v>22</v>
      </c>
      <c r="I698" s="0" t="s">
        <v>921</v>
      </c>
    </row>
    <row customHeight="1" ht="11.25">
      <c r="A699" s="1854" t="s">
        <v>2291</v>
      </c>
      <c r="B699" s="1854" t="s">
        <v>16</v>
      </c>
      <c r="C699" s="0" t="s">
        <v>3096</v>
      </c>
      <c r="D699" s="0" t="s">
        <v>3097</v>
      </c>
      <c r="E699" s="0" t="s">
        <v>3098</v>
      </c>
      <c r="F699" s="0" t="s">
        <v>2425</v>
      </c>
      <c r="G699" s="0" t="s">
        <v>22</v>
      </c>
      <c r="H699" s="0" t="s">
        <v>22</v>
      </c>
      <c r="I699" s="0" t="s">
        <v>921</v>
      </c>
    </row>
    <row customHeight="1" ht="11.25">
      <c r="A700" s="1854" t="s">
        <v>2291</v>
      </c>
      <c r="B700" s="1854" t="s">
        <v>16</v>
      </c>
      <c r="C700" s="0" t="s">
        <v>3103</v>
      </c>
      <c r="D700" s="0" t="s">
        <v>3104</v>
      </c>
      <c r="E700" s="0" t="s">
        <v>3105</v>
      </c>
      <c r="F700" s="0" t="s">
        <v>2640</v>
      </c>
      <c r="G700" s="0" t="s">
        <v>3106</v>
      </c>
      <c r="H700" s="0" t="s">
        <v>22</v>
      </c>
      <c r="I700" s="0" t="s">
        <v>921</v>
      </c>
    </row>
    <row customHeight="1" ht="11.25">
      <c r="A701" s="1854" t="s">
        <v>2291</v>
      </c>
      <c r="B701" s="1854" t="s">
        <v>16</v>
      </c>
      <c r="C701" s="0" t="s">
        <v>3111</v>
      </c>
      <c r="D701" s="0" t="s">
        <v>3112</v>
      </c>
      <c r="E701" s="0" t="s">
        <v>3113</v>
      </c>
      <c r="F701" s="0" t="s">
        <v>2632</v>
      </c>
      <c r="G701" s="0" t="s">
        <v>22</v>
      </c>
      <c r="H701" s="0" t="s">
        <v>3114</v>
      </c>
      <c r="I701" s="0" t="s">
        <v>921</v>
      </c>
    </row>
    <row customHeight="1" ht="11.25">
      <c r="A702" s="1854" t="s">
        <v>2291</v>
      </c>
      <c r="B702" s="1854" t="s">
        <v>16</v>
      </c>
      <c r="C702" s="0" t="s">
        <v>3119</v>
      </c>
      <c r="D702" s="0" t="s">
        <v>3120</v>
      </c>
      <c r="E702" s="0" t="s">
        <v>3121</v>
      </c>
      <c r="F702" s="0" t="s">
        <v>2309</v>
      </c>
      <c r="G702" s="0" t="s">
        <v>3122</v>
      </c>
      <c r="H702" s="0" t="s">
        <v>22</v>
      </c>
      <c r="I702" s="0" t="s">
        <v>921</v>
      </c>
    </row>
    <row customHeight="1" ht="11.25">
      <c r="A703" s="1854" t="s">
        <v>2291</v>
      </c>
      <c r="B703" s="1854" t="s">
        <v>16</v>
      </c>
      <c r="C703" s="0" t="s">
        <v>3133</v>
      </c>
      <c r="D703" s="0" t="s">
        <v>3134</v>
      </c>
      <c r="E703" s="0" t="s">
        <v>3135</v>
      </c>
      <c r="F703" s="0" t="s">
        <v>2351</v>
      </c>
      <c r="G703" s="0" t="s">
        <v>3136</v>
      </c>
      <c r="H703" s="0" t="s">
        <v>22</v>
      </c>
      <c r="I703" s="0" t="s">
        <v>921</v>
      </c>
    </row>
    <row customHeight="1" ht="11.25">
      <c r="A704" s="1854" t="s">
        <v>2291</v>
      </c>
      <c r="B704" s="1854" t="s">
        <v>16</v>
      </c>
      <c r="C704" s="0" t="s">
        <v>3137</v>
      </c>
      <c r="D704" s="0" t="s">
        <v>3138</v>
      </c>
      <c r="E704" s="0" t="s">
        <v>3139</v>
      </c>
      <c r="F704" s="0" t="s">
        <v>2309</v>
      </c>
      <c r="G704" s="0" t="s">
        <v>3140</v>
      </c>
      <c r="H704" s="0" t="s">
        <v>22</v>
      </c>
      <c r="I704" s="0" t="s">
        <v>921</v>
      </c>
    </row>
    <row customHeight="1" ht="11.25">
      <c r="A705" s="1854" t="s">
        <v>2291</v>
      </c>
      <c r="B705" s="1854" t="s">
        <v>16</v>
      </c>
      <c r="C705" s="0" t="s">
        <v>3141</v>
      </c>
      <c r="D705" s="0" t="s">
        <v>3142</v>
      </c>
      <c r="E705" s="0" t="s">
        <v>3143</v>
      </c>
      <c r="F705" s="0" t="s">
        <v>2640</v>
      </c>
      <c r="G705" s="0" t="s">
        <v>3144</v>
      </c>
      <c r="H705" s="0" t="s">
        <v>22</v>
      </c>
      <c r="I705" s="0" t="s">
        <v>921</v>
      </c>
    </row>
    <row customHeight="1" ht="11.25">
      <c r="A706" s="1854" t="s">
        <v>2291</v>
      </c>
      <c r="B706" s="1854" t="s">
        <v>16</v>
      </c>
      <c r="C706" s="0" t="s">
        <v>3145</v>
      </c>
      <c r="D706" s="0" t="s">
        <v>3146</v>
      </c>
      <c r="E706" s="0" t="s">
        <v>3147</v>
      </c>
      <c r="F706" s="0" t="s">
        <v>2351</v>
      </c>
      <c r="G706" s="0" t="s">
        <v>3148</v>
      </c>
      <c r="H706" s="0" t="s">
        <v>22</v>
      </c>
      <c r="I706" s="0" t="s">
        <v>921</v>
      </c>
    </row>
    <row customHeight="1" ht="11.25">
      <c r="A707" s="1854" t="s">
        <v>2291</v>
      </c>
      <c r="B707" s="1854" t="s">
        <v>16</v>
      </c>
      <c r="C707" s="0" t="s">
        <v>3156</v>
      </c>
      <c r="D707" s="0" t="s">
        <v>3157</v>
      </c>
      <c r="E707" s="0" t="s">
        <v>3158</v>
      </c>
      <c r="F707" s="0" t="s">
        <v>2351</v>
      </c>
      <c r="G707" s="0" t="s">
        <v>22</v>
      </c>
      <c r="H707" s="0" t="s">
        <v>22</v>
      </c>
      <c r="I707" s="0" t="s">
        <v>921</v>
      </c>
    </row>
    <row customHeight="1" ht="11.25">
      <c r="A708" s="1854" t="s">
        <v>2291</v>
      </c>
      <c r="B708" s="1854" t="s">
        <v>16</v>
      </c>
      <c r="C708" s="0" t="s">
        <v>3167</v>
      </c>
      <c r="D708" s="0" t="s">
        <v>3168</v>
      </c>
      <c r="E708" s="0" t="s">
        <v>3169</v>
      </c>
      <c r="F708" s="0" t="s">
        <v>2313</v>
      </c>
      <c r="G708" s="0" t="s">
        <v>3170</v>
      </c>
      <c r="H708" s="0" t="s">
        <v>22</v>
      </c>
      <c r="I708" s="0" t="s">
        <v>921</v>
      </c>
    </row>
    <row customHeight="1" ht="11.25">
      <c r="A709" s="1854" t="s">
        <v>2291</v>
      </c>
      <c r="B709" s="1854" t="s">
        <v>16</v>
      </c>
      <c r="C709" s="0" t="s">
        <v>3174</v>
      </c>
      <c r="D709" s="0" t="s">
        <v>3175</v>
      </c>
      <c r="E709" s="0" t="s">
        <v>3176</v>
      </c>
      <c r="F709" s="0" t="s">
        <v>2467</v>
      </c>
      <c r="G709" s="0" t="s">
        <v>3177</v>
      </c>
      <c r="H709" s="0" t="s">
        <v>22</v>
      </c>
      <c r="I709" s="0" t="s">
        <v>921</v>
      </c>
    </row>
    <row customHeight="1" ht="11.25">
      <c r="A710" s="1854" t="s">
        <v>2291</v>
      </c>
      <c r="B710" s="1854" t="s">
        <v>16</v>
      </c>
      <c r="C710" s="0" t="s">
        <v>3178</v>
      </c>
      <c r="D710" s="0" t="s">
        <v>3179</v>
      </c>
      <c r="E710" s="0" t="s">
        <v>3180</v>
      </c>
      <c r="F710" s="0" t="s">
        <v>2309</v>
      </c>
      <c r="G710" s="0" t="s">
        <v>3181</v>
      </c>
      <c r="H710" s="0" t="s">
        <v>22</v>
      </c>
      <c r="I710" s="0" t="s">
        <v>921</v>
      </c>
    </row>
    <row customHeight="1" ht="11.25">
      <c r="A711" s="1854" t="s">
        <v>2291</v>
      </c>
      <c r="B711" s="1854" t="s">
        <v>16</v>
      </c>
      <c r="C711" s="0" t="s">
        <v>3182</v>
      </c>
      <c r="D711" s="0" t="s">
        <v>3183</v>
      </c>
      <c r="E711" s="0" t="s">
        <v>3184</v>
      </c>
      <c r="F711" s="0" t="s">
        <v>2425</v>
      </c>
      <c r="G711" s="0" t="s">
        <v>3185</v>
      </c>
      <c r="H711" s="0" t="s">
        <v>22</v>
      </c>
      <c r="I711" s="0" t="s">
        <v>921</v>
      </c>
    </row>
    <row customHeight="1" ht="11.25">
      <c r="A712" s="1854" t="s">
        <v>2291</v>
      </c>
      <c r="B712" s="1854" t="s">
        <v>16</v>
      </c>
      <c r="C712" s="0" t="s">
        <v>3186</v>
      </c>
      <c r="D712" s="0" t="s">
        <v>3187</v>
      </c>
      <c r="E712" s="0" t="s">
        <v>3188</v>
      </c>
      <c r="F712" s="0" t="s">
        <v>2425</v>
      </c>
      <c r="G712" s="0" t="s">
        <v>3189</v>
      </c>
      <c r="H712" s="0" t="s">
        <v>22</v>
      </c>
      <c r="I712" s="0" t="s">
        <v>921</v>
      </c>
    </row>
    <row customHeight="1" ht="11.25">
      <c r="A713" s="1854" t="s">
        <v>2291</v>
      </c>
      <c r="B713" s="1854" t="s">
        <v>16</v>
      </c>
      <c r="C713" s="0" t="s">
        <v>3190</v>
      </c>
      <c r="D713" s="0" t="s">
        <v>3191</v>
      </c>
      <c r="E713" s="0" t="s">
        <v>3192</v>
      </c>
      <c r="F713" s="0" t="s">
        <v>2750</v>
      </c>
      <c r="G713" s="0" t="s">
        <v>3193</v>
      </c>
      <c r="H713" s="0" t="s">
        <v>22</v>
      </c>
      <c r="I713" s="0" t="s">
        <v>921</v>
      </c>
    </row>
    <row customHeight="1" ht="11.25">
      <c r="A714" s="1854" t="s">
        <v>2291</v>
      </c>
      <c r="B714" s="1854" t="s">
        <v>16</v>
      </c>
      <c r="C714" s="0" t="s">
        <v>3194</v>
      </c>
      <c r="D714" s="0" t="s">
        <v>3195</v>
      </c>
      <c r="E714" s="0" t="s">
        <v>3196</v>
      </c>
      <c r="F714" s="0" t="s">
        <v>2750</v>
      </c>
      <c r="G714" s="0" t="s">
        <v>3197</v>
      </c>
      <c r="H714" s="0" t="s">
        <v>22</v>
      </c>
      <c r="I714" s="0" t="s">
        <v>921</v>
      </c>
    </row>
    <row customHeight="1" ht="11.25">
      <c r="A715" s="1854" t="s">
        <v>2291</v>
      </c>
      <c r="B715" s="1854" t="s">
        <v>16</v>
      </c>
      <c r="C715" s="0" t="s">
        <v>3209</v>
      </c>
      <c r="D715" s="0" t="s">
        <v>3210</v>
      </c>
      <c r="E715" s="0" t="s">
        <v>3211</v>
      </c>
      <c r="F715" s="0" t="s">
        <v>2467</v>
      </c>
      <c r="G715" s="0" t="s">
        <v>22</v>
      </c>
      <c r="H715" s="0" t="s">
        <v>3212</v>
      </c>
      <c r="I715" s="0" t="s">
        <v>921</v>
      </c>
    </row>
    <row customHeight="1" ht="11.25">
      <c r="A716" s="1854" t="s">
        <v>2291</v>
      </c>
      <c r="B716" s="1854" t="s">
        <v>16</v>
      </c>
      <c r="C716" s="0" t="s">
        <v>3213</v>
      </c>
      <c r="D716" s="0" t="s">
        <v>3214</v>
      </c>
      <c r="E716" s="0" t="s">
        <v>3215</v>
      </c>
      <c r="F716" s="0" t="s">
        <v>2640</v>
      </c>
      <c r="G716" s="0" t="s">
        <v>22</v>
      </c>
      <c r="H716" s="0" t="s">
        <v>22</v>
      </c>
      <c r="I716" s="0" t="s">
        <v>921</v>
      </c>
    </row>
    <row customHeight="1" ht="11.25">
      <c r="A717" s="1854" t="s">
        <v>2291</v>
      </c>
      <c r="B717" s="1854" t="s">
        <v>16</v>
      </c>
      <c r="C717" s="0" t="s">
        <v>3216</v>
      </c>
      <c r="D717" s="0" t="s">
        <v>3217</v>
      </c>
      <c r="E717" s="0" t="s">
        <v>3218</v>
      </c>
      <c r="F717" s="0" t="s">
        <v>2750</v>
      </c>
      <c r="G717" s="0" t="s">
        <v>3219</v>
      </c>
      <c r="H717" s="0" t="s">
        <v>22</v>
      </c>
      <c r="I717" s="0" t="s">
        <v>921</v>
      </c>
    </row>
    <row customHeight="1" ht="11.25">
      <c r="A718" s="1854" t="s">
        <v>2291</v>
      </c>
      <c r="B718" s="1854" t="s">
        <v>16</v>
      </c>
      <c r="C718" s="0" t="s">
        <v>3224</v>
      </c>
      <c r="D718" s="0" t="s">
        <v>3225</v>
      </c>
      <c r="E718" s="0" t="s">
        <v>3226</v>
      </c>
      <c r="F718" s="0" t="s">
        <v>2640</v>
      </c>
      <c r="G718" s="0" t="s">
        <v>3227</v>
      </c>
      <c r="H718" s="0" t="s">
        <v>3228</v>
      </c>
      <c r="I718" s="0" t="s">
        <v>921</v>
      </c>
    </row>
    <row customHeight="1" ht="11.25">
      <c r="A719" s="1854" t="s">
        <v>2291</v>
      </c>
      <c r="B719" s="1854" t="s">
        <v>16</v>
      </c>
      <c r="C719" s="0" t="s">
        <v>3233</v>
      </c>
      <c r="D719" s="0" t="s">
        <v>3234</v>
      </c>
      <c r="E719" s="0" t="s">
        <v>3235</v>
      </c>
      <c r="F719" s="0" t="s">
        <v>2295</v>
      </c>
      <c r="G719" s="0" t="s">
        <v>3236</v>
      </c>
      <c r="H719" s="0" t="s">
        <v>22</v>
      </c>
      <c r="I719" s="0" t="s">
        <v>921</v>
      </c>
    </row>
    <row customHeight="1" ht="11.25">
      <c r="A720" s="1854" t="s">
        <v>2291</v>
      </c>
      <c r="B720" s="1854" t="s">
        <v>16</v>
      </c>
      <c r="C720" s="0" t="s">
        <v>3237</v>
      </c>
      <c r="D720" s="0" t="s">
        <v>3238</v>
      </c>
      <c r="E720" s="0" t="s">
        <v>3239</v>
      </c>
      <c r="F720" s="0" t="s">
        <v>2295</v>
      </c>
      <c r="G720" s="0" t="s">
        <v>3240</v>
      </c>
      <c r="H720" s="0" t="s">
        <v>22</v>
      </c>
      <c r="I720" s="0" t="s">
        <v>921</v>
      </c>
    </row>
    <row customHeight="1" ht="11.25">
      <c r="A721" s="1854" t="s">
        <v>2291</v>
      </c>
      <c r="B721" s="1854" t="s">
        <v>16</v>
      </c>
      <c r="C721" s="0" t="s">
        <v>3244</v>
      </c>
      <c r="D721" s="0" t="s">
        <v>3245</v>
      </c>
      <c r="E721" s="0" t="s">
        <v>3246</v>
      </c>
      <c r="F721" s="0" t="s">
        <v>2351</v>
      </c>
      <c r="G721" s="0" t="s">
        <v>3247</v>
      </c>
      <c r="H721" s="0" t="s">
        <v>22</v>
      </c>
      <c r="I721" s="0" t="s">
        <v>921</v>
      </c>
    </row>
    <row customHeight="1" ht="11.25">
      <c r="A722" s="1854" t="s">
        <v>2291</v>
      </c>
      <c r="B722" s="1854" t="s">
        <v>16</v>
      </c>
      <c r="C722" s="0" t="s">
        <v>3248</v>
      </c>
      <c r="D722" s="0" t="s">
        <v>3249</v>
      </c>
      <c r="E722" s="0" t="s">
        <v>3250</v>
      </c>
      <c r="F722" s="0" t="s">
        <v>2295</v>
      </c>
      <c r="G722" s="0" t="s">
        <v>2314</v>
      </c>
      <c r="H722" s="0" t="s">
        <v>22</v>
      </c>
      <c r="I722" s="0" t="s">
        <v>921</v>
      </c>
    </row>
    <row customHeight="1" ht="11.25">
      <c r="A723" s="1854" t="s">
        <v>2291</v>
      </c>
      <c r="B723" s="1854" t="s">
        <v>16</v>
      </c>
      <c r="C723" s="0" t="s">
        <v>3255</v>
      </c>
      <c r="D723" s="0" t="s">
        <v>3256</v>
      </c>
      <c r="E723" s="0" t="s">
        <v>3257</v>
      </c>
      <c r="F723" s="0" t="s">
        <v>2322</v>
      </c>
      <c r="G723" s="0" t="s">
        <v>22</v>
      </c>
      <c r="H723" s="0" t="s">
        <v>22</v>
      </c>
      <c r="I723" s="0" t="s">
        <v>921</v>
      </c>
    </row>
    <row customHeight="1" ht="11.25">
      <c r="A724" s="1854" t="s">
        <v>2291</v>
      </c>
      <c r="B724" s="1854" t="s">
        <v>16</v>
      </c>
      <c r="C724" s="0" t="s">
        <v>3266</v>
      </c>
      <c r="D724" s="0" t="s">
        <v>3267</v>
      </c>
      <c r="E724" s="0" t="s">
        <v>3268</v>
      </c>
      <c r="F724" s="0" t="s">
        <v>2295</v>
      </c>
      <c r="G724" s="0" t="s">
        <v>3269</v>
      </c>
      <c r="H724" s="0" t="s">
        <v>22</v>
      </c>
      <c r="I724" s="0" t="s">
        <v>921</v>
      </c>
    </row>
    <row customHeight="1" ht="11.25">
      <c r="A725" s="1854" t="s">
        <v>2291</v>
      </c>
      <c r="B725" s="1854" t="s">
        <v>16</v>
      </c>
      <c r="C725" s="0" t="s">
        <v>3270</v>
      </c>
      <c r="D725" s="0" t="s">
        <v>3271</v>
      </c>
      <c r="E725" s="0" t="s">
        <v>3272</v>
      </c>
      <c r="F725" s="0" t="s">
        <v>2425</v>
      </c>
      <c r="G725" s="0" t="s">
        <v>3273</v>
      </c>
      <c r="H725" s="0" t="s">
        <v>22</v>
      </c>
      <c r="I725" s="0" t="s">
        <v>921</v>
      </c>
    </row>
    <row customHeight="1" ht="11.25">
      <c r="A726" s="1854" t="s">
        <v>2291</v>
      </c>
      <c r="B726" s="1854" t="s">
        <v>16</v>
      </c>
      <c r="C726" s="0" t="s">
        <v>3278</v>
      </c>
      <c r="D726" s="0" t="s">
        <v>3279</v>
      </c>
      <c r="E726" s="0" t="s">
        <v>3280</v>
      </c>
      <c r="F726" s="0" t="s">
        <v>2420</v>
      </c>
      <c r="G726" s="0" t="s">
        <v>3281</v>
      </c>
      <c r="H726" s="0" t="s">
        <v>22</v>
      </c>
      <c r="I726" s="0" t="s">
        <v>921</v>
      </c>
    </row>
    <row customHeight="1" ht="11.25">
      <c r="A727" s="1854" t="s">
        <v>2291</v>
      </c>
      <c r="B727" s="1854" t="s">
        <v>16</v>
      </c>
      <c r="C727" s="0" t="s">
        <v>3286</v>
      </c>
      <c r="D727" s="0" t="s">
        <v>3287</v>
      </c>
      <c r="E727" s="0" t="s">
        <v>3288</v>
      </c>
      <c r="F727" s="0" t="s">
        <v>2351</v>
      </c>
      <c r="G727" s="0" t="s">
        <v>22</v>
      </c>
      <c r="H727" s="0" t="s">
        <v>22</v>
      </c>
      <c r="I727" s="0" t="s">
        <v>921</v>
      </c>
    </row>
    <row customHeight="1" ht="11.25">
      <c r="A728" s="1854" t="s">
        <v>2291</v>
      </c>
      <c r="B728" s="1854" t="s">
        <v>16</v>
      </c>
      <c r="C728" s="0" t="s">
        <v>3289</v>
      </c>
      <c r="D728" s="0" t="s">
        <v>3290</v>
      </c>
      <c r="E728" s="0" t="s">
        <v>3291</v>
      </c>
      <c r="F728" s="0" t="s">
        <v>2351</v>
      </c>
      <c r="G728" s="0" t="s">
        <v>22</v>
      </c>
      <c r="H728" s="0" t="s">
        <v>22</v>
      </c>
      <c r="I728" s="0" t="s">
        <v>921</v>
      </c>
    </row>
    <row customHeight="1" ht="11.25">
      <c r="A729" s="1854" t="s">
        <v>2291</v>
      </c>
      <c r="B729" s="1854" t="s">
        <v>16</v>
      </c>
      <c r="C729" s="0" t="s">
        <v>3296</v>
      </c>
      <c r="D729" s="0" t="s">
        <v>3297</v>
      </c>
      <c r="E729" s="0" t="s">
        <v>3298</v>
      </c>
      <c r="F729" s="0" t="s">
        <v>2351</v>
      </c>
      <c r="G729" s="0" t="s">
        <v>22</v>
      </c>
      <c r="H729" s="0" t="s">
        <v>22</v>
      </c>
      <c r="I729" s="0" t="s">
        <v>921</v>
      </c>
    </row>
    <row customHeight="1" ht="11.25">
      <c r="A730" s="1854" t="s">
        <v>2291</v>
      </c>
      <c r="B730" s="1854" t="s">
        <v>16</v>
      </c>
      <c r="C730" s="0" t="s">
        <v>3302</v>
      </c>
      <c r="D730" s="0" t="s">
        <v>3303</v>
      </c>
      <c r="E730" s="0" t="s">
        <v>3304</v>
      </c>
      <c r="F730" s="0" t="s">
        <v>3305</v>
      </c>
      <c r="G730" s="0" t="s">
        <v>22</v>
      </c>
      <c r="H730" s="0" t="s">
        <v>22</v>
      </c>
      <c r="I730" s="0" t="s">
        <v>921</v>
      </c>
    </row>
    <row customHeight="1" ht="11.25">
      <c r="A731" s="1854" t="s">
        <v>2291</v>
      </c>
      <c r="B731" s="1854" t="s">
        <v>16</v>
      </c>
      <c r="C731" s="0" t="s">
        <v>3318</v>
      </c>
      <c r="D731" s="0" t="s">
        <v>3319</v>
      </c>
      <c r="E731" s="0" t="s">
        <v>3320</v>
      </c>
      <c r="F731" s="0" t="s">
        <v>3321</v>
      </c>
      <c r="G731" s="0" t="s">
        <v>22</v>
      </c>
      <c r="H731" s="0" t="s">
        <v>22</v>
      </c>
      <c r="I731" s="0" t="s">
        <v>921</v>
      </c>
    </row>
    <row customHeight="1" ht="11.25">
      <c r="A732" s="1854" t="s">
        <v>2291</v>
      </c>
      <c r="B732" s="1854" t="s">
        <v>16</v>
      </c>
      <c r="C732" s="0" t="s">
        <v>3322</v>
      </c>
      <c r="D732" s="0" t="s">
        <v>3323</v>
      </c>
      <c r="E732" s="0" t="s">
        <v>3324</v>
      </c>
      <c r="F732" s="0" t="s">
        <v>2401</v>
      </c>
      <c r="G732" s="0" t="s">
        <v>22</v>
      </c>
      <c r="H732" s="0" t="s">
        <v>22</v>
      </c>
      <c r="I732" s="0" t="s">
        <v>921</v>
      </c>
    </row>
    <row customHeight="1" ht="11.25">
      <c r="A733" s="1854" t="s">
        <v>2291</v>
      </c>
      <c r="B733" s="1854" t="s">
        <v>16</v>
      </c>
      <c r="C733" s="0" t="s">
        <v>3325</v>
      </c>
      <c r="D733" s="0" t="s">
        <v>3326</v>
      </c>
      <c r="E733" s="0" t="s">
        <v>3327</v>
      </c>
      <c r="F733" s="0" t="s">
        <v>2640</v>
      </c>
      <c r="G733" s="0" t="s">
        <v>22</v>
      </c>
      <c r="H733" s="0" t="s">
        <v>22</v>
      </c>
      <c r="I733" s="0" t="s">
        <v>921</v>
      </c>
    </row>
    <row customHeight="1" ht="11.25">
      <c r="A734" s="1854" t="s">
        <v>2291</v>
      </c>
      <c r="B734" s="1854" t="s">
        <v>16</v>
      </c>
      <c r="C734" s="0" t="s">
        <v>3334</v>
      </c>
      <c r="D734" s="0" t="s">
        <v>3335</v>
      </c>
      <c r="E734" s="0" t="s">
        <v>3336</v>
      </c>
      <c r="F734" s="0" t="s">
        <v>51</v>
      </c>
      <c r="G734" s="0" t="s">
        <v>22</v>
      </c>
      <c r="H734" s="0" t="s">
        <v>22</v>
      </c>
      <c r="I734" s="0" t="s">
        <v>921</v>
      </c>
    </row>
    <row customHeight="1" ht="11.25">
      <c r="A735" s="1854" t="s">
        <v>2291</v>
      </c>
      <c r="B735" s="1854" t="s">
        <v>16</v>
      </c>
      <c r="C735" s="0" t="s">
        <v>3337</v>
      </c>
      <c r="D735" s="0" t="s">
        <v>3338</v>
      </c>
      <c r="E735" s="0" t="s">
        <v>3339</v>
      </c>
      <c r="F735" s="0" t="s">
        <v>2351</v>
      </c>
      <c r="G735" s="0" t="s">
        <v>22</v>
      </c>
      <c r="H735" s="0" t="s">
        <v>22</v>
      </c>
      <c r="I735" s="0" t="s">
        <v>921</v>
      </c>
    </row>
    <row customHeight="1" ht="11.25">
      <c r="A736" s="1854" t="s">
        <v>2291</v>
      </c>
      <c r="B736" s="1854" t="s">
        <v>16</v>
      </c>
      <c r="C736" s="0" t="s">
        <v>3349</v>
      </c>
      <c r="D736" s="0" t="s">
        <v>3350</v>
      </c>
      <c r="E736" s="0" t="s">
        <v>3351</v>
      </c>
      <c r="F736" s="0" t="s">
        <v>2295</v>
      </c>
      <c r="G736" s="0" t="s">
        <v>22</v>
      </c>
      <c r="H736" s="0" t="s">
        <v>22</v>
      </c>
      <c r="I736" s="0" t="s">
        <v>921</v>
      </c>
    </row>
    <row customHeight="1" ht="11.25">
      <c r="A737" s="1854" t="s">
        <v>2291</v>
      </c>
      <c r="B737" s="1854" t="s">
        <v>16</v>
      </c>
      <c r="C737" s="0" t="s">
        <v>3355</v>
      </c>
      <c r="D737" s="0" t="s">
        <v>3356</v>
      </c>
      <c r="E737" s="0" t="s">
        <v>3357</v>
      </c>
      <c r="F737" s="0" t="s">
        <v>2393</v>
      </c>
      <c r="G737" s="0" t="s">
        <v>22</v>
      </c>
      <c r="H737" s="0" t="s">
        <v>22</v>
      </c>
      <c r="I737" s="0" t="s">
        <v>921</v>
      </c>
    </row>
    <row customHeight="1" ht="11.25">
      <c r="A738" s="1854" t="s">
        <v>2291</v>
      </c>
      <c r="B738" s="1854" t="s">
        <v>16</v>
      </c>
      <c r="C738" s="0" t="s">
        <v>3358</v>
      </c>
      <c r="D738" s="0" t="s">
        <v>3359</v>
      </c>
      <c r="E738" s="0" t="s">
        <v>3360</v>
      </c>
      <c r="F738" s="0" t="s">
        <v>2295</v>
      </c>
      <c r="G738" s="0" t="s">
        <v>22</v>
      </c>
      <c r="H738" s="0" t="s">
        <v>22</v>
      </c>
      <c r="I738" s="0" t="s">
        <v>921</v>
      </c>
    </row>
    <row customHeight="1" ht="11.25">
      <c r="A739" s="1854" t="s">
        <v>2291</v>
      </c>
      <c r="B739" s="1854" t="s">
        <v>16</v>
      </c>
      <c r="C739" s="0" t="s">
        <v>3375</v>
      </c>
      <c r="D739" s="0" t="s">
        <v>3376</v>
      </c>
      <c r="E739" s="0" t="s">
        <v>3377</v>
      </c>
      <c r="F739" s="0" t="s">
        <v>2416</v>
      </c>
      <c r="G739" s="0" t="s">
        <v>22</v>
      </c>
      <c r="H739" s="0" t="s">
        <v>22</v>
      </c>
      <c r="I739" s="0" t="s">
        <v>921</v>
      </c>
    </row>
    <row customHeight="1" ht="11.25">
      <c r="A740" s="1854" t="s">
        <v>2291</v>
      </c>
      <c r="B740" s="1854" t="s">
        <v>16</v>
      </c>
      <c r="C740" s="0" t="s">
        <v>3381</v>
      </c>
      <c r="D740" s="0" t="s">
        <v>3382</v>
      </c>
      <c r="E740" s="0" t="s">
        <v>3383</v>
      </c>
      <c r="F740" s="0" t="s">
        <v>2401</v>
      </c>
      <c r="G740" s="0" t="s">
        <v>22</v>
      </c>
      <c r="H740" s="0" t="s">
        <v>22</v>
      </c>
      <c r="I740" s="0" t="s">
        <v>921</v>
      </c>
    </row>
    <row customHeight="1" ht="11.25">
      <c r="A741" s="1854" t="s">
        <v>2291</v>
      </c>
      <c r="B741" s="1854" t="s">
        <v>16</v>
      </c>
      <c r="C741" s="0" t="s">
        <v>3391</v>
      </c>
      <c r="D741" s="0" t="s">
        <v>3392</v>
      </c>
      <c r="E741" s="0" t="s">
        <v>3393</v>
      </c>
      <c r="F741" s="0" t="s">
        <v>3394</v>
      </c>
      <c r="G741" s="0" t="s">
        <v>22</v>
      </c>
      <c r="H741" s="0" t="s">
        <v>22</v>
      </c>
      <c r="I741" s="0" t="s">
        <v>921</v>
      </c>
    </row>
    <row customHeight="1" ht="11.25">
      <c r="A742" s="1854" t="s">
        <v>2291</v>
      </c>
      <c r="B742" s="1854" t="s">
        <v>16</v>
      </c>
      <c r="C742" s="0" t="s">
        <v>3402</v>
      </c>
      <c r="D742" s="0" t="s">
        <v>3403</v>
      </c>
      <c r="E742" s="0" t="s">
        <v>3404</v>
      </c>
      <c r="F742" s="0" t="s">
        <v>2405</v>
      </c>
      <c r="G742" s="0" t="s">
        <v>22</v>
      </c>
      <c r="H742" s="0" t="s">
        <v>22</v>
      </c>
      <c r="I742" s="0" t="s">
        <v>921</v>
      </c>
    </row>
    <row customHeight="1" ht="11.25">
      <c r="A743" s="1854" t="s">
        <v>2291</v>
      </c>
      <c r="B743" s="1854" t="s">
        <v>16</v>
      </c>
      <c r="C743" s="0" t="s">
        <v>3408</v>
      </c>
      <c r="D743" s="0" t="s">
        <v>3409</v>
      </c>
      <c r="E743" s="0" t="s">
        <v>3410</v>
      </c>
      <c r="F743" s="0" t="s">
        <v>2313</v>
      </c>
      <c r="G743" s="0" t="s">
        <v>22</v>
      </c>
      <c r="H743" s="0" t="s">
        <v>22</v>
      </c>
      <c r="I743" s="0" t="s">
        <v>921</v>
      </c>
    </row>
    <row customHeight="1" ht="11.25">
      <c r="A744" s="1854" t="s">
        <v>2291</v>
      </c>
      <c r="B744" s="1854" t="s">
        <v>16</v>
      </c>
      <c r="C744" s="0" t="s">
        <v>3423</v>
      </c>
      <c r="D744" s="0" t="s">
        <v>3424</v>
      </c>
      <c r="E744" s="0" t="s">
        <v>3425</v>
      </c>
      <c r="F744" s="0" t="s">
        <v>2295</v>
      </c>
      <c r="G744" s="0" t="s">
        <v>22</v>
      </c>
      <c r="H744" s="0" t="s">
        <v>22</v>
      </c>
      <c r="I744" s="0" t="s">
        <v>921</v>
      </c>
    </row>
    <row customHeight="1" ht="11.25">
      <c r="A745" s="1854" t="s">
        <v>2291</v>
      </c>
      <c r="B745" s="1854" t="s">
        <v>16</v>
      </c>
      <c r="C745" s="0" t="s">
        <v>3429</v>
      </c>
      <c r="D745" s="0" t="s">
        <v>3430</v>
      </c>
      <c r="E745" s="0" t="s">
        <v>3431</v>
      </c>
      <c r="F745" s="0" t="s">
        <v>2313</v>
      </c>
      <c r="G745" s="0" t="s">
        <v>22</v>
      </c>
      <c r="H745" s="0" t="s">
        <v>22</v>
      </c>
      <c r="I745" s="0" t="s">
        <v>921</v>
      </c>
    </row>
    <row customHeight="1" ht="11.25">
      <c r="A746" s="1854" t="s">
        <v>2291</v>
      </c>
      <c r="B746" s="1854" t="s">
        <v>16</v>
      </c>
      <c r="C746" s="0" t="s">
        <v>3445</v>
      </c>
      <c r="D746" s="0" t="s">
        <v>3446</v>
      </c>
      <c r="E746" s="0" t="s">
        <v>3447</v>
      </c>
      <c r="F746" s="0" t="s">
        <v>2632</v>
      </c>
      <c r="G746" s="0" t="s">
        <v>22</v>
      </c>
      <c r="H746" s="0" t="s">
        <v>22</v>
      </c>
      <c r="I746" s="0" t="s">
        <v>921</v>
      </c>
    </row>
    <row customHeight="1" ht="11.25">
      <c r="A747" s="1854" t="s">
        <v>2291</v>
      </c>
      <c r="B747" s="1854" t="s">
        <v>16</v>
      </c>
      <c r="C747" s="0" t="s">
        <v>3458</v>
      </c>
      <c r="D747" s="0" t="s">
        <v>3459</v>
      </c>
      <c r="E747" s="0" t="s">
        <v>3460</v>
      </c>
      <c r="F747" s="0" t="s">
        <v>2389</v>
      </c>
      <c r="G747" s="0" t="s">
        <v>22</v>
      </c>
      <c r="H747" s="0" t="s">
        <v>22</v>
      </c>
      <c r="I747" s="0" t="s">
        <v>921</v>
      </c>
    </row>
    <row customHeight="1" ht="11.25">
      <c r="A748" s="1854" t="s">
        <v>2291</v>
      </c>
      <c r="B748" s="1854" t="s">
        <v>16</v>
      </c>
      <c r="C748" s="0" t="s">
        <v>4342</v>
      </c>
      <c r="D748" s="0" t="s">
        <v>4343</v>
      </c>
      <c r="E748" s="0" t="s">
        <v>3466</v>
      </c>
      <c r="F748" s="0" t="s">
        <v>2405</v>
      </c>
      <c r="G748" s="0" t="s">
        <v>22</v>
      </c>
      <c r="H748" s="0" t="s">
        <v>22</v>
      </c>
      <c r="I748" s="0" t="s">
        <v>921</v>
      </c>
    </row>
    <row customHeight="1" ht="11.25">
      <c r="A749" s="1854" t="s">
        <v>2291</v>
      </c>
      <c r="B749" s="1854" t="s">
        <v>16</v>
      </c>
      <c r="C749" s="0" t="s">
        <v>3474</v>
      </c>
      <c r="D749" s="0" t="s">
        <v>3475</v>
      </c>
      <c r="E749" s="0" t="s">
        <v>3476</v>
      </c>
      <c r="F749" s="0" t="s">
        <v>2351</v>
      </c>
      <c r="G749" s="0" t="s">
        <v>22</v>
      </c>
      <c r="H749" s="0" t="s">
        <v>22</v>
      </c>
      <c r="I749" s="0" t="s">
        <v>921</v>
      </c>
    </row>
    <row customHeight="1" ht="11.25">
      <c r="A750" s="1854" t="s">
        <v>2291</v>
      </c>
      <c r="B750" s="1854" t="s">
        <v>16</v>
      </c>
      <c r="C750" s="0" t="s">
        <v>3492</v>
      </c>
      <c r="D750" s="0" t="s">
        <v>3493</v>
      </c>
      <c r="E750" s="0" t="s">
        <v>3494</v>
      </c>
      <c r="F750" s="0" t="s">
        <v>2405</v>
      </c>
      <c r="G750" s="0" t="s">
        <v>3495</v>
      </c>
      <c r="H750" s="0" t="s">
        <v>22</v>
      </c>
      <c r="I750" s="0" t="s">
        <v>921</v>
      </c>
    </row>
    <row customHeight="1" ht="11.25">
      <c r="A751" s="1854" t="s">
        <v>2291</v>
      </c>
      <c r="B751" s="1854" t="s">
        <v>16</v>
      </c>
      <c r="C751" s="0" t="s">
        <v>3509</v>
      </c>
      <c r="D751" s="0" t="s">
        <v>3510</v>
      </c>
      <c r="E751" s="0" t="s">
        <v>3511</v>
      </c>
      <c r="F751" s="0" t="s">
        <v>3512</v>
      </c>
      <c r="G751" s="0" t="s">
        <v>22</v>
      </c>
      <c r="H751" s="0" t="s">
        <v>22</v>
      </c>
      <c r="I751" s="0" t="s">
        <v>921</v>
      </c>
    </row>
    <row customHeight="1" ht="11.25">
      <c r="A752" s="1854" t="s">
        <v>2291</v>
      </c>
      <c r="B752" s="1854" t="s">
        <v>16</v>
      </c>
      <c r="C752" s="0" t="s">
        <v>3527</v>
      </c>
      <c r="D752" s="0" t="s">
        <v>3528</v>
      </c>
      <c r="E752" s="0" t="s">
        <v>3529</v>
      </c>
      <c r="F752" s="0" t="s">
        <v>2295</v>
      </c>
      <c r="G752" s="0" t="s">
        <v>22</v>
      </c>
      <c r="H752" s="0" t="s">
        <v>22</v>
      </c>
      <c r="I752" s="0" t="s">
        <v>921</v>
      </c>
    </row>
    <row customHeight="1" ht="11.25">
      <c r="A753" s="1854" t="s">
        <v>2291</v>
      </c>
      <c r="B753" s="1854" t="s">
        <v>16</v>
      </c>
      <c r="C753" s="0" t="s">
        <v>3533</v>
      </c>
      <c r="D753" s="0" t="s">
        <v>3534</v>
      </c>
      <c r="E753" s="0" t="s">
        <v>3535</v>
      </c>
      <c r="F753" s="0" t="s">
        <v>2295</v>
      </c>
      <c r="G753" s="0" t="s">
        <v>22</v>
      </c>
      <c r="H753" s="0" t="s">
        <v>22</v>
      </c>
      <c r="I753" s="0" t="s">
        <v>921</v>
      </c>
    </row>
    <row customHeight="1" ht="11.25">
      <c r="A754" s="1854" t="s">
        <v>2291</v>
      </c>
      <c r="B754" s="1854" t="s">
        <v>16</v>
      </c>
      <c r="C754" s="0" t="s">
        <v>3536</v>
      </c>
      <c r="D754" s="0" t="s">
        <v>3537</v>
      </c>
      <c r="E754" s="0" t="s">
        <v>3538</v>
      </c>
      <c r="F754" s="0" t="s">
        <v>2389</v>
      </c>
      <c r="G754" s="0" t="s">
        <v>22</v>
      </c>
      <c r="H754" s="0" t="s">
        <v>22</v>
      </c>
      <c r="I754" s="0" t="s">
        <v>921</v>
      </c>
    </row>
    <row customHeight="1" ht="11.25">
      <c r="A755" s="1854" t="s">
        <v>2291</v>
      </c>
      <c r="B755" s="1854" t="s">
        <v>16</v>
      </c>
      <c r="C755" s="0" t="s">
        <v>3539</v>
      </c>
      <c r="D755" s="0" t="s">
        <v>3540</v>
      </c>
      <c r="E755" s="0" t="s">
        <v>3541</v>
      </c>
      <c r="F755" s="0" t="s">
        <v>2313</v>
      </c>
      <c r="G755" s="0" t="s">
        <v>22</v>
      </c>
      <c r="H755" s="0" t="s">
        <v>22</v>
      </c>
      <c r="I755" s="0" t="s">
        <v>921</v>
      </c>
    </row>
    <row customHeight="1" ht="11.25">
      <c r="A756" s="1854" t="s">
        <v>2291</v>
      </c>
      <c r="B756" s="1854" t="s">
        <v>16</v>
      </c>
      <c r="C756" s="0" t="s">
        <v>3545</v>
      </c>
      <c r="D756" s="0" t="s">
        <v>3546</v>
      </c>
      <c r="E756" s="0" t="s">
        <v>3377</v>
      </c>
      <c r="F756" s="0" t="s">
        <v>2401</v>
      </c>
      <c r="G756" s="0" t="s">
        <v>22</v>
      </c>
      <c r="H756" s="0" t="s">
        <v>22</v>
      </c>
      <c r="I756" s="0" t="s">
        <v>921</v>
      </c>
    </row>
    <row customHeight="1" ht="11.25">
      <c r="A757" s="1854" t="s">
        <v>2291</v>
      </c>
      <c r="B757" s="1854" t="s">
        <v>16</v>
      </c>
      <c r="C757" s="0" t="s">
        <v>3559</v>
      </c>
      <c r="D757" s="0" t="s">
        <v>3560</v>
      </c>
      <c r="E757" s="0" t="s">
        <v>3561</v>
      </c>
      <c r="F757" s="0" t="s">
        <v>2359</v>
      </c>
      <c r="G757" s="0" t="s">
        <v>22</v>
      </c>
      <c r="H757" s="0" t="s">
        <v>22</v>
      </c>
      <c r="I757" s="0" t="s">
        <v>921</v>
      </c>
    </row>
    <row customHeight="1" ht="11.25">
      <c r="A758" s="1854" t="s">
        <v>2291</v>
      </c>
      <c r="B758" s="1854" t="s">
        <v>16</v>
      </c>
      <c r="C758" s="0" t="s">
        <v>3577</v>
      </c>
      <c r="D758" s="0" t="s">
        <v>3578</v>
      </c>
      <c r="E758" s="0" t="s">
        <v>3579</v>
      </c>
      <c r="F758" s="0" t="s">
        <v>2359</v>
      </c>
      <c r="G758" s="0" t="s">
        <v>22</v>
      </c>
      <c r="H758" s="0" t="s">
        <v>22</v>
      </c>
      <c r="I758" s="0" t="s">
        <v>921</v>
      </c>
    </row>
    <row customHeight="1" ht="11.25">
      <c r="A759" s="1854" t="s">
        <v>2291</v>
      </c>
      <c r="B759" s="1854" t="s">
        <v>16</v>
      </c>
      <c r="C759" s="0" t="s">
        <v>3586</v>
      </c>
      <c r="D759" s="0" t="s">
        <v>3587</v>
      </c>
      <c r="E759" s="0" t="s">
        <v>3588</v>
      </c>
      <c r="F759" s="0" t="s">
        <v>51</v>
      </c>
      <c r="G759" s="0" t="s">
        <v>22</v>
      </c>
      <c r="H759" s="0" t="s">
        <v>22</v>
      </c>
      <c r="I759" s="0" t="s">
        <v>921</v>
      </c>
    </row>
    <row customHeight="1" ht="11.25">
      <c r="A760" s="1854" t="s">
        <v>2291</v>
      </c>
      <c r="B760" s="1854" t="s">
        <v>16</v>
      </c>
      <c r="C760" s="0" t="s">
        <v>3592</v>
      </c>
      <c r="D760" s="0" t="s">
        <v>3593</v>
      </c>
      <c r="E760" s="0" t="s">
        <v>2303</v>
      </c>
      <c r="F760" s="0" t="s">
        <v>2526</v>
      </c>
      <c r="G760" s="0" t="s">
        <v>22</v>
      </c>
      <c r="H760" s="0" t="s">
        <v>22</v>
      </c>
      <c r="I760" s="0" t="s">
        <v>921</v>
      </c>
    </row>
    <row customHeight="1" ht="11.25">
      <c r="A761" s="1854" t="s">
        <v>2291</v>
      </c>
      <c r="B761" s="1854" t="s">
        <v>16</v>
      </c>
      <c r="C761" s="0" t="s">
        <v>3594</v>
      </c>
      <c r="D761" s="0" t="s">
        <v>3595</v>
      </c>
      <c r="E761" s="0" t="s">
        <v>2365</v>
      </c>
      <c r="F761" s="0" t="s">
        <v>3596</v>
      </c>
      <c r="G761" s="0" t="s">
        <v>2370</v>
      </c>
      <c r="H761" s="0" t="s">
        <v>22</v>
      </c>
      <c r="I761" s="0" t="s">
        <v>921</v>
      </c>
    </row>
    <row customHeight="1" ht="11.25">
      <c r="A762" s="1854" t="s">
        <v>2291</v>
      </c>
      <c r="B762" s="1854" t="s">
        <v>16</v>
      </c>
      <c r="C762" s="0" t="s">
        <v>3630</v>
      </c>
      <c r="D762" s="0" t="s">
        <v>3631</v>
      </c>
      <c r="E762" s="0" t="s">
        <v>3632</v>
      </c>
      <c r="F762" s="0" t="s">
        <v>2389</v>
      </c>
      <c r="G762" s="0" t="s">
        <v>22</v>
      </c>
      <c r="H762" s="0" t="s">
        <v>22</v>
      </c>
      <c r="I762" s="0" t="s">
        <v>921</v>
      </c>
    </row>
    <row customHeight="1" ht="11.25">
      <c r="A763" s="1854" t="s">
        <v>2291</v>
      </c>
      <c r="B763" s="1854" t="s">
        <v>16</v>
      </c>
      <c r="C763" s="0" t="s">
        <v>3652</v>
      </c>
      <c r="D763" s="0" t="s">
        <v>3653</v>
      </c>
      <c r="E763" s="0" t="s">
        <v>3654</v>
      </c>
      <c r="F763" s="0" t="s">
        <v>2393</v>
      </c>
      <c r="G763" s="0" t="s">
        <v>22</v>
      </c>
      <c r="H763" s="0" t="s">
        <v>22</v>
      </c>
      <c r="I763" s="0" t="s">
        <v>921</v>
      </c>
    </row>
    <row customHeight="1" ht="11.25">
      <c r="A764" s="1854" t="s">
        <v>2291</v>
      </c>
      <c r="B764" s="1854" t="s">
        <v>16</v>
      </c>
      <c r="C764" s="0" t="s">
        <v>3655</v>
      </c>
      <c r="D764" s="0" t="s">
        <v>3656</v>
      </c>
      <c r="E764" s="0" t="s">
        <v>3657</v>
      </c>
      <c r="F764" s="0" t="s">
        <v>2389</v>
      </c>
      <c r="G764" s="0" t="s">
        <v>22</v>
      </c>
      <c r="H764" s="0" t="s">
        <v>22</v>
      </c>
      <c r="I764" s="0" t="s">
        <v>921</v>
      </c>
    </row>
    <row customHeight="1" ht="11.25">
      <c r="A765" s="1854" t="s">
        <v>2291</v>
      </c>
      <c r="B765" s="1854" t="s">
        <v>16</v>
      </c>
      <c r="C765" s="0" t="s">
        <v>3658</v>
      </c>
      <c r="D765" s="0" t="s">
        <v>3659</v>
      </c>
      <c r="E765" s="0" t="s">
        <v>3660</v>
      </c>
      <c r="F765" s="0" t="s">
        <v>3661</v>
      </c>
      <c r="G765" s="0" t="s">
        <v>22</v>
      </c>
      <c r="H765" s="0" t="s">
        <v>22</v>
      </c>
      <c r="I765" s="0" t="s">
        <v>921</v>
      </c>
    </row>
    <row customHeight="1" ht="11.25">
      <c r="A766" s="1854" t="s">
        <v>2291</v>
      </c>
      <c r="B766" s="1854" t="s">
        <v>16</v>
      </c>
      <c r="C766" s="0" t="s">
        <v>3673</v>
      </c>
      <c r="D766" s="0" t="s">
        <v>3674</v>
      </c>
      <c r="E766" s="0" t="s">
        <v>3660</v>
      </c>
      <c r="F766" s="0" t="s">
        <v>3675</v>
      </c>
      <c r="G766" s="0" t="s">
        <v>22</v>
      </c>
      <c r="H766" s="0" t="s">
        <v>22</v>
      </c>
      <c r="I766" s="0" t="s">
        <v>921</v>
      </c>
    </row>
    <row customHeight="1" ht="11.25">
      <c r="A767" s="1854" t="s">
        <v>2291</v>
      </c>
      <c r="B767" s="1854" t="s">
        <v>16</v>
      </c>
      <c r="C767" s="0" t="s">
        <v>3695</v>
      </c>
      <c r="D767" s="0" t="s">
        <v>3696</v>
      </c>
      <c r="E767" s="0" t="s">
        <v>3693</v>
      </c>
      <c r="F767" s="0" t="s">
        <v>3697</v>
      </c>
      <c r="G767" s="0" t="s">
        <v>3694</v>
      </c>
      <c r="H767" s="0" t="s">
        <v>22</v>
      </c>
      <c r="I767" s="0" t="s">
        <v>921</v>
      </c>
    </row>
    <row customHeight="1" ht="11.25">
      <c r="A768" s="1854" t="s">
        <v>2291</v>
      </c>
      <c r="B768" s="1854" t="s">
        <v>16</v>
      </c>
      <c r="C768" s="0" t="s">
        <v>3709</v>
      </c>
      <c r="D768" s="0" t="s">
        <v>3710</v>
      </c>
      <c r="E768" s="0" t="s">
        <v>3711</v>
      </c>
      <c r="F768" s="0" t="s">
        <v>3712</v>
      </c>
      <c r="G768" s="0" t="s">
        <v>22</v>
      </c>
      <c r="H768" s="0" t="s">
        <v>22</v>
      </c>
      <c r="I768" s="0" t="s">
        <v>921</v>
      </c>
    </row>
    <row customHeight="1" ht="11.25">
      <c r="A769" s="1854" t="s">
        <v>2291</v>
      </c>
      <c r="B769" s="1854" t="s">
        <v>16</v>
      </c>
      <c r="C769" s="0" t="s">
        <v>3731</v>
      </c>
      <c r="D769" s="0" t="s">
        <v>3732</v>
      </c>
      <c r="E769" s="0" t="s">
        <v>3733</v>
      </c>
      <c r="F769" s="0" t="s">
        <v>2377</v>
      </c>
      <c r="G769" s="0" t="s">
        <v>22</v>
      </c>
      <c r="H769" s="0" t="s">
        <v>22</v>
      </c>
      <c r="I769" s="0" t="s">
        <v>921</v>
      </c>
    </row>
    <row customHeight="1" ht="11.25">
      <c r="A770" s="1854" t="s">
        <v>2291</v>
      </c>
      <c r="B770" s="1854" t="s">
        <v>16</v>
      </c>
      <c r="C770" s="0" t="s">
        <v>3751</v>
      </c>
      <c r="D770" s="0" t="s">
        <v>3752</v>
      </c>
      <c r="E770" s="0" t="s">
        <v>3753</v>
      </c>
      <c r="F770" s="0" t="s">
        <v>2295</v>
      </c>
      <c r="G770" s="0" t="s">
        <v>22</v>
      </c>
      <c r="H770" s="0" t="s">
        <v>22</v>
      </c>
      <c r="I770" s="0" t="s">
        <v>921</v>
      </c>
    </row>
    <row customHeight="1" ht="11.25">
      <c r="A771" s="1854" t="s">
        <v>2291</v>
      </c>
      <c r="B771" s="1854" t="s">
        <v>16</v>
      </c>
      <c r="C771" s="0" t="s">
        <v>3754</v>
      </c>
      <c r="D771" s="0" t="s">
        <v>3755</v>
      </c>
      <c r="E771" s="0" t="s">
        <v>3756</v>
      </c>
      <c r="F771" s="0" t="s">
        <v>2405</v>
      </c>
      <c r="G771" s="0" t="s">
        <v>3757</v>
      </c>
      <c r="H771" s="0" t="s">
        <v>3758</v>
      </c>
      <c r="I771" s="0" t="s">
        <v>921</v>
      </c>
    </row>
    <row customHeight="1" ht="11.25">
      <c r="A772" s="1854" t="s">
        <v>2291</v>
      </c>
      <c r="B772" s="1854" t="s">
        <v>16</v>
      </c>
      <c r="C772" s="0" t="s">
        <v>3769</v>
      </c>
      <c r="D772" s="0" t="s">
        <v>3770</v>
      </c>
      <c r="E772" s="0" t="s">
        <v>3771</v>
      </c>
      <c r="F772" s="0" t="s">
        <v>2389</v>
      </c>
      <c r="G772" s="0" t="s">
        <v>22</v>
      </c>
      <c r="H772" s="0" t="s">
        <v>22</v>
      </c>
      <c r="I772" s="0" t="s">
        <v>921</v>
      </c>
    </row>
    <row customHeight="1" ht="11.25">
      <c r="A773" s="1854" t="s">
        <v>2291</v>
      </c>
      <c r="B773" s="1854" t="s">
        <v>16</v>
      </c>
      <c r="C773" s="0" t="s">
        <v>3796</v>
      </c>
      <c r="D773" s="0" t="s">
        <v>3797</v>
      </c>
      <c r="E773" s="0" t="s">
        <v>3798</v>
      </c>
      <c r="F773" s="0" t="s">
        <v>2393</v>
      </c>
      <c r="G773" s="0" t="s">
        <v>2378</v>
      </c>
      <c r="H773" s="0" t="s">
        <v>22</v>
      </c>
      <c r="I773" s="0" t="s">
        <v>921</v>
      </c>
    </row>
    <row customHeight="1" ht="11.25">
      <c r="A774" s="1854" t="s">
        <v>2291</v>
      </c>
      <c r="B774" s="1854" t="s">
        <v>16</v>
      </c>
      <c r="C774" s="0" t="s">
        <v>3807</v>
      </c>
      <c r="D774" s="0" t="s">
        <v>3808</v>
      </c>
      <c r="E774" s="0" t="s">
        <v>3809</v>
      </c>
      <c r="F774" s="0" t="s">
        <v>2416</v>
      </c>
      <c r="G774" s="0" t="s">
        <v>22</v>
      </c>
      <c r="H774" s="0" t="s">
        <v>22</v>
      </c>
      <c r="I774" s="0" t="s">
        <v>921</v>
      </c>
    </row>
    <row customHeight="1" ht="11.25">
      <c r="A775" s="1854" t="s">
        <v>2291</v>
      </c>
      <c r="B775" s="1854" t="s">
        <v>16</v>
      </c>
      <c r="C775" s="0" t="s">
        <v>3841</v>
      </c>
      <c r="D775" s="0" t="s">
        <v>3842</v>
      </c>
      <c r="E775" s="0" t="s">
        <v>3843</v>
      </c>
      <c r="F775" s="0" t="s">
        <v>2405</v>
      </c>
      <c r="G775" s="0" t="s">
        <v>22</v>
      </c>
      <c r="H775" s="0" t="s">
        <v>22</v>
      </c>
      <c r="I775" s="0" t="s">
        <v>921</v>
      </c>
    </row>
    <row customHeight="1" ht="11.25">
      <c r="A776" s="1854" t="s">
        <v>2291</v>
      </c>
      <c r="B776" s="1854" t="s">
        <v>16</v>
      </c>
      <c r="C776" s="0" t="s">
        <v>3844</v>
      </c>
      <c r="D776" s="0" t="s">
        <v>3845</v>
      </c>
      <c r="E776" s="0" t="s">
        <v>3846</v>
      </c>
      <c r="F776" s="0" t="s">
        <v>2351</v>
      </c>
      <c r="G776" s="0" t="s">
        <v>22</v>
      </c>
      <c r="H776" s="0" t="s">
        <v>22</v>
      </c>
      <c r="I776" s="0" t="s">
        <v>921</v>
      </c>
    </row>
    <row customHeight="1" ht="11.25">
      <c r="A777" s="1854" t="s">
        <v>2291</v>
      </c>
      <c r="B777" s="1854" t="s">
        <v>16</v>
      </c>
      <c r="C777" s="0" t="s">
        <v>3847</v>
      </c>
      <c r="D777" s="0" t="s">
        <v>3848</v>
      </c>
      <c r="E777" s="0" t="s">
        <v>3849</v>
      </c>
      <c r="F777" s="0" t="s">
        <v>2351</v>
      </c>
      <c r="G777" s="0" t="s">
        <v>3850</v>
      </c>
      <c r="H777" s="0" t="s">
        <v>22</v>
      </c>
      <c r="I777" s="0" t="s">
        <v>921</v>
      </c>
    </row>
    <row customHeight="1" ht="11.25">
      <c r="A778" s="1854" t="s">
        <v>2291</v>
      </c>
      <c r="B778" s="1854" t="s">
        <v>16</v>
      </c>
      <c r="C778" s="0" t="s">
        <v>3874</v>
      </c>
      <c r="D778" s="0" t="s">
        <v>3875</v>
      </c>
      <c r="E778" s="0" t="s">
        <v>3876</v>
      </c>
      <c r="F778" s="0" t="s">
        <v>2393</v>
      </c>
      <c r="G778" s="0" t="s">
        <v>22</v>
      </c>
      <c r="H778" s="0" t="s">
        <v>22</v>
      </c>
      <c r="I778" s="0" t="s">
        <v>921</v>
      </c>
    </row>
    <row customHeight="1" ht="11.25">
      <c r="A779" s="1854" t="s">
        <v>2291</v>
      </c>
      <c r="B779" s="1854" t="s">
        <v>16</v>
      </c>
      <c r="C779" s="0" t="s">
        <v>3877</v>
      </c>
      <c r="D779" s="0" t="s">
        <v>3878</v>
      </c>
      <c r="E779" s="0" t="s">
        <v>3879</v>
      </c>
      <c r="F779" s="0" t="s">
        <v>51</v>
      </c>
      <c r="G779" s="0" t="s">
        <v>3880</v>
      </c>
      <c r="H779" s="0" t="s">
        <v>22</v>
      </c>
      <c r="I779" s="0" t="s">
        <v>921</v>
      </c>
    </row>
    <row customHeight="1" ht="11.25">
      <c r="A780" s="1854" t="s">
        <v>2291</v>
      </c>
      <c r="B780" s="1854" t="s">
        <v>16</v>
      </c>
      <c r="C780" s="0" t="s">
        <v>3889</v>
      </c>
      <c r="D780" s="0" t="s">
        <v>3890</v>
      </c>
      <c r="E780" s="0" t="s">
        <v>3891</v>
      </c>
      <c r="F780" s="0" t="s">
        <v>2405</v>
      </c>
      <c r="G780" s="0" t="s">
        <v>3892</v>
      </c>
      <c r="H780" s="0" t="s">
        <v>22</v>
      </c>
      <c r="I780" s="0" t="s">
        <v>921</v>
      </c>
    </row>
    <row customHeight="1" ht="11.25">
      <c r="A781" s="1854" t="s">
        <v>2291</v>
      </c>
      <c r="B781" s="1854" t="s">
        <v>16</v>
      </c>
      <c r="C781" s="0" t="s">
        <v>3896</v>
      </c>
      <c r="D781" s="0" t="s">
        <v>3897</v>
      </c>
      <c r="E781" s="0" t="s">
        <v>3898</v>
      </c>
      <c r="F781" s="0" t="s">
        <v>2389</v>
      </c>
      <c r="G781" s="0" t="s">
        <v>3899</v>
      </c>
      <c r="H781" s="0" t="s">
        <v>22</v>
      </c>
      <c r="I781" s="0" t="s">
        <v>921</v>
      </c>
    </row>
    <row customHeight="1" ht="11.25">
      <c r="A782" s="1854" t="s">
        <v>2291</v>
      </c>
      <c r="B782" s="1854" t="s">
        <v>16</v>
      </c>
      <c r="C782" s="0" t="s">
        <v>3900</v>
      </c>
      <c r="D782" s="0" t="s">
        <v>3901</v>
      </c>
      <c r="E782" s="0" t="s">
        <v>3902</v>
      </c>
      <c r="F782" s="0" t="s">
        <v>3903</v>
      </c>
      <c r="G782" s="0" t="s">
        <v>22</v>
      </c>
      <c r="H782" s="0" t="s">
        <v>22</v>
      </c>
      <c r="I782" s="0" t="s">
        <v>921</v>
      </c>
    </row>
    <row customHeight="1" ht="11.25">
      <c r="A783" s="1854" t="s">
        <v>2291</v>
      </c>
      <c r="B783" s="1854" t="s">
        <v>16</v>
      </c>
      <c r="C783" s="0" t="s">
        <v>3913</v>
      </c>
      <c r="D783" s="0" t="s">
        <v>3914</v>
      </c>
      <c r="E783" s="0" t="s">
        <v>3915</v>
      </c>
      <c r="F783" s="0" t="s">
        <v>2351</v>
      </c>
      <c r="G783" s="0" t="s">
        <v>3916</v>
      </c>
      <c r="H783" s="0" t="s">
        <v>22</v>
      </c>
      <c r="I783" s="0" t="s">
        <v>921</v>
      </c>
    </row>
    <row customHeight="1" ht="11.25">
      <c r="A784" s="1854" t="s">
        <v>2291</v>
      </c>
      <c r="B784" s="1854" t="s">
        <v>16</v>
      </c>
      <c r="C784" s="0" t="s">
        <v>3917</v>
      </c>
      <c r="D784" s="0" t="s">
        <v>3918</v>
      </c>
      <c r="E784" s="0" t="s">
        <v>3919</v>
      </c>
      <c r="F784" s="0" t="s">
        <v>2640</v>
      </c>
      <c r="G784" s="0" t="s">
        <v>3920</v>
      </c>
      <c r="H784" s="0" t="s">
        <v>22</v>
      </c>
      <c r="I784" s="0" t="s">
        <v>921</v>
      </c>
    </row>
    <row customHeight="1" ht="11.25">
      <c r="A785" s="1854" t="s">
        <v>2291</v>
      </c>
      <c r="B785" s="1854" t="s">
        <v>16</v>
      </c>
      <c r="C785" s="0" t="s">
        <v>3921</v>
      </c>
      <c r="D785" s="0" t="s">
        <v>3922</v>
      </c>
      <c r="E785" s="0" t="s">
        <v>3923</v>
      </c>
      <c r="F785" s="0" t="s">
        <v>2632</v>
      </c>
      <c r="G785" s="0" t="s">
        <v>22</v>
      </c>
      <c r="H785" s="0" t="s">
        <v>22</v>
      </c>
      <c r="I785" s="0" t="s">
        <v>921</v>
      </c>
    </row>
    <row customHeight="1" ht="11.25">
      <c r="A786" s="1854" t="s">
        <v>2291</v>
      </c>
      <c r="B786" s="1854" t="s">
        <v>16</v>
      </c>
      <c r="C786" s="0" t="s">
        <v>3928</v>
      </c>
      <c r="D786" s="0" t="s">
        <v>3929</v>
      </c>
      <c r="E786" s="0" t="s">
        <v>3930</v>
      </c>
      <c r="F786" s="0" t="s">
        <v>2389</v>
      </c>
      <c r="G786" s="0" t="s">
        <v>3931</v>
      </c>
      <c r="H786" s="0" t="s">
        <v>22</v>
      </c>
      <c r="I786" s="0" t="s">
        <v>921</v>
      </c>
    </row>
    <row customHeight="1" ht="11.25">
      <c r="A787" s="1854" t="s">
        <v>2291</v>
      </c>
      <c r="B787" s="1854" t="s">
        <v>16</v>
      </c>
      <c r="C787" s="0" t="s">
        <v>3940</v>
      </c>
      <c r="D787" s="0" t="s">
        <v>3941</v>
      </c>
      <c r="E787" s="0" t="s">
        <v>3942</v>
      </c>
      <c r="F787" s="0" t="s">
        <v>2750</v>
      </c>
      <c r="G787" s="0" t="s">
        <v>22</v>
      </c>
      <c r="H787" s="0" t="s">
        <v>22</v>
      </c>
      <c r="I787" s="0" t="s">
        <v>921</v>
      </c>
    </row>
    <row customHeight="1" ht="11.25">
      <c r="A788" s="1854" t="s">
        <v>2291</v>
      </c>
      <c r="B788" s="1854" t="s">
        <v>16</v>
      </c>
      <c r="C788" s="0" t="s">
        <v>3949</v>
      </c>
      <c r="D788" s="0" t="s">
        <v>3950</v>
      </c>
      <c r="E788" s="0" t="s">
        <v>3951</v>
      </c>
      <c r="F788" s="0" t="s">
        <v>2389</v>
      </c>
      <c r="G788" s="0" t="s">
        <v>3952</v>
      </c>
      <c r="H788" s="0" t="s">
        <v>3953</v>
      </c>
      <c r="I788" s="0" t="s">
        <v>921</v>
      </c>
    </row>
    <row customHeight="1" ht="11.25">
      <c r="A789" s="1854" t="s">
        <v>2291</v>
      </c>
      <c r="B789" s="1854" t="s">
        <v>16</v>
      </c>
      <c r="C789" s="0" t="s">
        <v>3961</v>
      </c>
      <c r="D789" s="0" t="s">
        <v>3962</v>
      </c>
      <c r="E789" s="0" t="s">
        <v>3963</v>
      </c>
      <c r="F789" s="0" t="s">
        <v>2405</v>
      </c>
      <c r="G789" s="0" t="s">
        <v>22</v>
      </c>
      <c r="H789" s="0" t="s">
        <v>22</v>
      </c>
      <c r="I789" s="0" t="s">
        <v>921</v>
      </c>
    </row>
    <row customHeight="1" ht="11.25">
      <c r="A790" s="1854" t="s">
        <v>2291</v>
      </c>
      <c r="B790" s="1854" t="s">
        <v>16</v>
      </c>
      <c r="C790" s="0" t="s">
        <v>3982</v>
      </c>
      <c r="D790" s="0" t="s">
        <v>3983</v>
      </c>
      <c r="E790" s="0" t="s">
        <v>3984</v>
      </c>
      <c r="F790" s="0" t="s">
        <v>2632</v>
      </c>
      <c r="G790" s="0" t="s">
        <v>3985</v>
      </c>
      <c r="H790" s="0" t="s">
        <v>22</v>
      </c>
      <c r="I790" s="0" t="s">
        <v>921</v>
      </c>
    </row>
    <row customHeight="1" ht="11.25">
      <c r="A791" s="1854" t="s">
        <v>2291</v>
      </c>
      <c r="B791" s="1854" t="s">
        <v>16</v>
      </c>
      <c r="C791" s="0" t="s">
        <v>3989</v>
      </c>
      <c r="D791" s="0" t="s">
        <v>3990</v>
      </c>
      <c r="E791" s="0" t="s">
        <v>3991</v>
      </c>
      <c r="F791" s="0" t="s">
        <v>2295</v>
      </c>
      <c r="G791" s="0" t="s">
        <v>22</v>
      </c>
      <c r="H791" s="0" t="s">
        <v>22</v>
      </c>
      <c r="I791" s="0" t="s">
        <v>921</v>
      </c>
    </row>
    <row customHeight="1" ht="11.25">
      <c r="A792" s="1854" t="s">
        <v>2291</v>
      </c>
      <c r="B792" s="1854" t="s">
        <v>16</v>
      </c>
      <c r="C792" s="0" t="s">
        <v>4015</v>
      </c>
      <c r="D792" s="0" t="s">
        <v>4016</v>
      </c>
      <c r="E792" s="0" t="s">
        <v>4017</v>
      </c>
      <c r="F792" s="0" t="s">
        <v>51</v>
      </c>
      <c r="G792" s="0" t="s">
        <v>22</v>
      </c>
      <c r="H792" s="0" t="s">
        <v>22</v>
      </c>
      <c r="I792" s="0" t="s">
        <v>921</v>
      </c>
    </row>
    <row customHeight="1" ht="11.25">
      <c r="A793" s="1854" t="s">
        <v>2291</v>
      </c>
      <c r="B793" s="1854" t="s">
        <v>16</v>
      </c>
      <c r="C793" s="0" t="s">
        <v>4021</v>
      </c>
      <c r="D793" s="0" t="s">
        <v>4022</v>
      </c>
      <c r="E793" s="0" t="s">
        <v>4023</v>
      </c>
      <c r="F793" s="0" t="s">
        <v>2295</v>
      </c>
      <c r="G793" s="0" t="s">
        <v>4024</v>
      </c>
      <c r="H793" s="0" t="s">
        <v>22</v>
      </c>
      <c r="I793" s="0" t="s">
        <v>921</v>
      </c>
    </row>
    <row customHeight="1" ht="11.25">
      <c r="A794" s="1854" t="s">
        <v>2291</v>
      </c>
      <c r="B794" s="1854" t="s">
        <v>16</v>
      </c>
      <c r="C794" s="0" t="s">
        <v>4029</v>
      </c>
      <c r="D794" s="0" t="s">
        <v>4030</v>
      </c>
      <c r="E794" s="0" t="s">
        <v>4031</v>
      </c>
      <c r="F794" s="0" t="s">
        <v>2401</v>
      </c>
      <c r="G794" s="0" t="s">
        <v>22</v>
      </c>
      <c r="H794" s="0" t="s">
        <v>22</v>
      </c>
      <c r="I794" s="0" t="s">
        <v>921</v>
      </c>
    </row>
    <row customHeight="1" ht="11.25">
      <c r="A795" s="1854" t="s">
        <v>2291</v>
      </c>
      <c r="B795" s="1854" t="s">
        <v>16</v>
      </c>
      <c r="C795" s="0" t="s">
        <v>4032</v>
      </c>
      <c r="D795" s="0" t="s">
        <v>4033</v>
      </c>
      <c r="E795" s="0" t="s">
        <v>4034</v>
      </c>
      <c r="F795" s="0" t="s">
        <v>2389</v>
      </c>
      <c r="G795" s="0" t="s">
        <v>22</v>
      </c>
      <c r="H795" s="0" t="s">
        <v>22</v>
      </c>
      <c r="I795" s="0" t="s">
        <v>921</v>
      </c>
    </row>
    <row customHeight="1" ht="11.25">
      <c r="A796" s="1854" t="s">
        <v>2291</v>
      </c>
      <c r="B796" s="1854" t="s">
        <v>16</v>
      </c>
      <c r="C796" s="0" t="s">
        <v>4050</v>
      </c>
      <c r="D796" s="0" t="s">
        <v>4051</v>
      </c>
      <c r="E796" s="0" t="s">
        <v>4052</v>
      </c>
      <c r="F796" s="0" t="s">
        <v>2401</v>
      </c>
      <c r="G796" s="0" t="s">
        <v>22</v>
      </c>
      <c r="H796" s="0" t="s">
        <v>22</v>
      </c>
      <c r="I796" s="0" t="s">
        <v>921</v>
      </c>
    </row>
    <row customHeight="1" ht="11.25">
      <c r="A797" s="1854" t="s">
        <v>2291</v>
      </c>
      <c r="B797" s="1854" t="s">
        <v>16</v>
      </c>
      <c r="C797" s="0" t="s">
        <v>4062</v>
      </c>
      <c r="D797" s="0" t="s">
        <v>4063</v>
      </c>
      <c r="E797" s="0" t="s">
        <v>4064</v>
      </c>
      <c r="F797" s="0" t="s">
        <v>2420</v>
      </c>
      <c r="G797" s="0" t="s">
        <v>4065</v>
      </c>
      <c r="H797" s="0" t="s">
        <v>22</v>
      </c>
      <c r="I797" s="0" t="s">
        <v>921</v>
      </c>
    </row>
    <row customHeight="1" ht="11.25">
      <c r="A798" s="1854" t="s">
        <v>2291</v>
      </c>
      <c r="B798" s="1854" t="s">
        <v>16</v>
      </c>
      <c r="C798" s="0" t="s">
        <v>4069</v>
      </c>
      <c r="D798" s="0" t="s">
        <v>4070</v>
      </c>
      <c r="E798" s="0" t="s">
        <v>4071</v>
      </c>
      <c r="F798" s="0" t="s">
        <v>4072</v>
      </c>
      <c r="G798" s="0" t="s">
        <v>4073</v>
      </c>
      <c r="H798" s="0" t="s">
        <v>22</v>
      </c>
      <c r="I798" s="0" t="s">
        <v>921</v>
      </c>
    </row>
    <row customHeight="1" ht="11.25">
      <c r="A799" s="1854" t="s">
        <v>2291</v>
      </c>
      <c r="B799" s="1854" t="s">
        <v>16</v>
      </c>
      <c r="C799" s="0" t="s">
        <v>4074</v>
      </c>
      <c r="D799" s="0" t="s">
        <v>4075</v>
      </c>
      <c r="E799" s="0" t="s">
        <v>4076</v>
      </c>
      <c r="F799" s="0" t="s">
        <v>4077</v>
      </c>
      <c r="G799" s="0" t="s">
        <v>22</v>
      </c>
      <c r="H799" s="0" t="s">
        <v>22</v>
      </c>
      <c r="I799" s="0" t="s">
        <v>921</v>
      </c>
    </row>
    <row customHeight="1" ht="11.25">
      <c r="A800" s="1854" t="s">
        <v>2291</v>
      </c>
      <c r="B800" s="1854" t="s">
        <v>16</v>
      </c>
      <c r="C800" s="0" t="s">
        <v>4094</v>
      </c>
      <c r="D800" s="0" t="s">
        <v>4095</v>
      </c>
      <c r="E800" s="0" t="s">
        <v>4096</v>
      </c>
      <c r="F800" s="0" t="s">
        <v>2467</v>
      </c>
      <c r="G800" s="0" t="s">
        <v>4097</v>
      </c>
      <c r="H800" s="0" t="s">
        <v>22</v>
      </c>
      <c r="I800" s="0" t="s">
        <v>921</v>
      </c>
    </row>
    <row customHeight="1" ht="11.25">
      <c r="A801" s="1854" t="s">
        <v>2291</v>
      </c>
      <c r="B801" s="1854" t="s">
        <v>16</v>
      </c>
      <c r="C801" s="0" t="s">
        <v>4101</v>
      </c>
      <c r="D801" s="0" t="s">
        <v>4102</v>
      </c>
      <c r="E801" s="0" t="s">
        <v>4103</v>
      </c>
      <c r="F801" s="0" t="s">
        <v>2416</v>
      </c>
      <c r="G801" s="0" t="s">
        <v>4104</v>
      </c>
      <c r="H801" s="0" t="s">
        <v>22</v>
      </c>
      <c r="I801" s="0" t="s">
        <v>921</v>
      </c>
    </row>
    <row customHeight="1" ht="11.25">
      <c r="A802" s="1854" t="s">
        <v>2291</v>
      </c>
      <c r="B802" s="1854" t="s">
        <v>16</v>
      </c>
      <c r="C802" s="0" t="s">
        <v>4111</v>
      </c>
      <c r="D802" s="0" t="s">
        <v>4112</v>
      </c>
      <c r="E802" s="0" t="s">
        <v>4113</v>
      </c>
      <c r="F802" s="0" t="s">
        <v>2830</v>
      </c>
      <c r="G802" s="0" t="s">
        <v>22</v>
      </c>
      <c r="H802" s="0" t="s">
        <v>22</v>
      </c>
      <c r="I802" s="0" t="s">
        <v>921</v>
      </c>
    </row>
    <row customHeight="1" ht="11.25">
      <c r="A803" s="1854" t="s">
        <v>2291</v>
      </c>
      <c r="B803" s="1854" t="s">
        <v>16</v>
      </c>
      <c r="C803" s="0" t="s">
        <v>4118</v>
      </c>
      <c r="D803" s="0" t="s">
        <v>4119</v>
      </c>
      <c r="E803" s="0" t="s">
        <v>4120</v>
      </c>
      <c r="F803" s="0" t="s">
        <v>2640</v>
      </c>
      <c r="G803" s="0" t="s">
        <v>4121</v>
      </c>
      <c r="H803" s="0" t="s">
        <v>4122</v>
      </c>
      <c r="I803" s="0" t="s">
        <v>921</v>
      </c>
    </row>
    <row customHeight="1" ht="11.25">
      <c r="A804" s="1854" t="s">
        <v>2291</v>
      </c>
      <c r="B804" s="1854" t="s">
        <v>16</v>
      </c>
      <c r="C804" s="0" t="s">
        <v>4123</v>
      </c>
      <c r="D804" s="0" t="s">
        <v>4124</v>
      </c>
      <c r="E804" s="0" t="s">
        <v>4125</v>
      </c>
      <c r="F804" s="0" t="s">
        <v>2369</v>
      </c>
      <c r="G804" s="0" t="s">
        <v>22</v>
      </c>
      <c r="H804" s="0" t="s">
        <v>22</v>
      </c>
      <c r="I804" s="0" t="s">
        <v>921</v>
      </c>
    </row>
    <row customHeight="1" ht="11.25">
      <c r="A805" s="1854" t="s">
        <v>2291</v>
      </c>
      <c r="B805" s="1854" t="s">
        <v>16</v>
      </c>
      <c r="C805" s="0" t="s">
        <v>4145</v>
      </c>
      <c r="D805" s="0" t="s">
        <v>4146</v>
      </c>
      <c r="E805" s="0" t="s">
        <v>2742</v>
      </c>
      <c r="F805" s="0" t="s">
        <v>4147</v>
      </c>
      <c r="G805" s="0" t="s">
        <v>22</v>
      </c>
      <c r="H805" s="0" t="s">
        <v>22</v>
      </c>
      <c r="I805" s="0" t="s">
        <v>921</v>
      </c>
    </row>
    <row customHeight="1" ht="11.25">
      <c r="A806" s="1854" t="s">
        <v>2291</v>
      </c>
      <c r="B806" s="1854" t="s">
        <v>16</v>
      </c>
      <c r="C806" s="0" t="s">
        <v>4182</v>
      </c>
      <c r="D806" s="0" t="s">
        <v>4183</v>
      </c>
      <c r="E806" s="0" t="s">
        <v>4184</v>
      </c>
      <c r="F806" s="0" t="s">
        <v>4185</v>
      </c>
      <c r="G806" s="0" t="s">
        <v>22</v>
      </c>
      <c r="H806" s="0" t="s">
        <v>22</v>
      </c>
      <c r="I806" s="0" t="s">
        <v>921</v>
      </c>
    </row>
    <row customHeight="1" ht="11.25">
      <c r="A807" s="1854" t="s">
        <v>2291</v>
      </c>
      <c r="B807" s="1854" t="s">
        <v>16</v>
      </c>
      <c r="C807" s="0" t="s">
        <v>4186</v>
      </c>
      <c r="D807" s="0" t="s">
        <v>4187</v>
      </c>
      <c r="E807" s="0" t="s">
        <v>4188</v>
      </c>
      <c r="F807" s="0" t="s">
        <v>2327</v>
      </c>
      <c r="G807" s="0" t="s">
        <v>22</v>
      </c>
      <c r="H807" s="0" t="s">
        <v>22</v>
      </c>
      <c r="I807" s="0" t="s">
        <v>921</v>
      </c>
    </row>
    <row customHeight="1" ht="11.25">
      <c r="A808" s="1854" t="s">
        <v>2291</v>
      </c>
      <c r="B808" s="1854" t="s">
        <v>16</v>
      </c>
      <c r="C808" s="0" t="s">
        <v>4193</v>
      </c>
      <c r="D808" s="0" t="s">
        <v>4194</v>
      </c>
      <c r="E808" s="0" t="s">
        <v>4195</v>
      </c>
      <c r="F808" s="0" t="s">
        <v>4196</v>
      </c>
      <c r="G808" s="0" t="s">
        <v>22</v>
      </c>
      <c r="H808" s="0" t="s">
        <v>22</v>
      </c>
      <c r="I808" s="0" t="s">
        <v>921</v>
      </c>
    </row>
    <row customHeight="1" ht="11.25">
      <c r="A809" s="1854" t="s">
        <v>2291</v>
      </c>
      <c r="B809" s="1854" t="s">
        <v>16</v>
      </c>
      <c r="C809" s="0" t="s">
        <v>4200</v>
      </c>
      <c r="D809" s="0" t="s">
        <v>4201</v>
      </c>
      <c r="E809" s="0" t="s">
        <v>4202</v>
      </c>
      <c r="F809" s="0" t="s">
        <v>2313</v>
      </c>
      <c r="G809" s="0" t="s">
        <v>22</v>
      </c>
      <c r="H809" s="0" t="s">
        <v>22</v>
      </c>
      <c r="I809" s="0" t="s">
        <v>921</v>
      </c>
    </row>
    <row customHeight="1" ht="11.25">
      <c r="A810" s="1854" t="s">
        <v>2291</v>
      </c>
      <c r="B810" s="1854" t="s">
        <v>16</v>
      </c>
      <c r="C810" s="0" t="s">
        <v>4207</v>
      </c>
      <c r="D810" s="0" t="s">
        <v>4208</v>
      </c>
      <c r="E810" s="0" t="s">
        <v>4209</v>
      </c>
      <c r="F810" s="0" t="s">
        <v>2416</v>
      </c>
      <c r="G810" s="0" t="s">
        <v>4210</v>
      </c>
      <c r="H810" s="0" t="s">
        <v>22</v>
      </c>
      <c r="I810" s="0" t="s">
        <v>921</v>
      </c>
    </row>
    <row customHeight="1" ht="11.25">
      <c r="A811" s="1854" t="s">
        <v>2291</v>
      </c>
      <c r="B811" s="1854" t="s">
        <v>16</v>
      </c>
      <c r="C811" s="0" t="s">
        <v>4215</v>
      </c>
      <c r="D811" s="0" t="s">
        <v>4216</v>
      </c>
      <c r="E811" s="0" t="s">
        <v>4217</v>
      </c>
      <c r="F811" s="0" t="s">
        <v>4218</v>
      </c>
      <c r="G811" s="0" t="s">
        <v>4219</v>
      </c>
      <c r="H811" s="0" t="s">
        <v>22</v>
      </c>
      <c r="I811" s="0" t="s">
        <v>921</v>
      </c>
    </row>
    <row customHeight="1" ht="11.25">
      <c r="A812" s="1854" t="s">
        <v>2291</v>
      </c>
      <c r="B812" s="1854" t="s">
        <v>16</v>
      </c>
      <c r="C812" s="0" t="s">
        <v>4224</v>
      </c>
      <c r="D812" s="0" t="s">
        <v>4225</v>
      </c>
      <c r="E812" s="0" t="s">
        <v>4226</v>
      </c>
      <c r="F812" s="0" t="s">
        <v>2405</v>
      </c>
      <c r="G812" s="0" t="s">
        <v>22</v>
      </c>
      <c r="H812" s="0" t="s">
        <v>22</v>
      </c>
      <c r="I812" s="0" t="s">
        <v>921</v>
      </c>
    </row>
    <row customHeight="1" ht="11.25">
      <c r="A813" s="1854" t="s">
        <v>2291</v>
      </c>
      <c r="B813" s="1854" t="s">
        <v>16</v>
      </c>
      <c r="C813" s="0" t="s">
        <v>4233</v>
      </c>
      <c r="D813" s="0" t="s">
        <v>4234</v>
      </c>
      <c r="E813" s="0" t="s">
        <v>4235</v>
      </c>
      <c r="F813" s="0" t="s">
        <v>2601</v>
      </c>
      <c r="G813" s="0" t="s">
        <v>22</v>
      </c>
      <c r="H813" s="0" t="s">
        <v>22</v>
      </c>
      <c r="I813" s="0" t="s">
        <v>921</v>
      </c>
    </row>
    <row customHeight="1" ht="11.25">
      <c r="A814" s="1854" t="s">
        <v>2291</v>
      </c>
      <c r="B814" s="1854" t="s">
        <v>16</v>
      </c>
      <c r="C814" s="0" t="s">
        <v>22</v>
      </c>
      <c r="D814" s="0" t="s">
        <v>4236</v>
      </c>
      <c r="E814" s="0" t="s">
        <v>4237</v>
      </c>
      <c r="F814" s="0" t="s">
        <v>2393</v>
      </c>
      <c r="G814" s="0" t="s">
        <v>22</v>
      </c>
      <c r="H814" s="0" t="s">
        <v>22</v>
      </c>
      <c r="I814" s="0" t="s">
        <v>921</v>
      </c>
    </row>
    <row customHeight="1" ht="11.25">
      <c r="A815" s="1854" t="s">
        <v>2291</v>
      </c>
      <c r="B815" s="1854" t="s">
        <v>16</v>
      </c>
      <c r="C815" s="0" t="s">
        <v>4245</v>
      </c>
      <c r="D815" s="0" t="s">
        <v>4246</v>
      </c>
      <c r="E815" s="0" t="s">
        <v>4247</v>
      </c>
      <c r="F815" s="0" t="s">
        <v>3903</v>
      </c>
      <c r="G815" s="0" t="s">
        <v>22</v>
      </c>
      <c r="H815" s="0" t="s">
        <v>22</v>
      </c>
      <c r="I815" s="0" t="s">
        <v>921</v>
      </c>
    </row>
    <row customHeight="1" ht="11.25">
      <c r="A816" s="1854" t="s">
        <v>2291</v>
      </c>
      <c r="B816" s="1854" t="s">
        <v>16</v>
      </c>
      <c r="C816" s="0" t="s">
        <v>4251</v>
      </c>
      <c r="D816" s="0" t="s">
        <v>4252</v>
      </c>
      <c r="E816" s="0" t="s">
        <v>4253</v>
      </c>
      <c r="F816" s="0" t="s">
        <v>3744</v>
      </c>
      <c r="G816" s="0" t="s">
        <v>22</v>
      </c>
      <c r="H816" s="0" t="s">
        <v>22</v>
      </c>
      <c r="I816" s="0" t="s">
        <v>921</v>
      </c>
    </row>
    <row customHeight="1" ht="11.25">
      <c r="A817" s="1854" t="s">
        <v>2291</v>
      </c>
      <c r="B817" s="1854" t="s">
        <v>16</v>
      </c>
      <c r="C817" s="0" t="s">
        <v>4264</v>
      </c>
      <c r="D817" s="0" t="s">
        <v>4265</v>
      </c>
      <c r="E817" s="0" t="s">
        <v>4266</v>
      </c>
      <c r="F817" s="0" t="s">
        <v>4267</v>
      </c>
      <c r="G817" s="0" t="s">
        <v>4268</v>
      </c>
      <c r="H817" s="0" t="s">
        <v>22</v>
      </c>
      <c r="I817" s="0" t="s">
        <v>921</v>
      </c>
    </row>
    <row customHeight="1" ht="11.25">
      <c r="A818" s="1854" t="s">
        <v>2291</v>
      </c>
      <c r="B818" s="1854" t="s">
        <v>16</v>
      </c>
      <c r="C818" s="0" t="s">
        <v>4269</v>
      </c>
      <c r="D818" s="0" t="s">
        <v>4270</v>
      </c>
      <c r="E818" s="0" t="s">
        <v>4271</v>
      </c>
      <c r="F818" s="0" t="s">
        <v>2389</v>
      </c>
      <c r="G818" s="0" t="s">
        <v>22</v>
      </c>
      <c r="H818" s="0" t="s">
        <v>22</v>
      </c>
      <c r="I818" s="0" t="s">
        <v>921</v>
      </c>
    </row>
    <row customHeight="1" ht="11.25">
      <c r="A819" s="1854" t="s">
        <v>2291</v>
      </c>
      <c r="B819" s="1854" t="s">
        <v>16</v>
      </c>
      <c r="C819" s="0" t="s">
        <v>4275</v>
      </c>
      <c r="D819" s="0" t="s">
        <v>4276</v>
      </c>
      <c r="E819" s="0" t="s">
        <v>4277</v>
      </c>
      <c r="F819" s="0" t="s">
        <v>2295</v>
      </c>
      <c r="G819" s="0" t="s">
        <v>4278</v>
      </c>
      <c r="H819" s="0" t="s">
        <v>22</v>
      </c>
      <c r="I819" s="0" t="s">
        <v>921</v>
      </c>
    </row>
    <row customHeight="1" ht="11.25">
      <c r="A820" s="1854" t="s">
        <v>2291</v>
      </c>
      <c r="B820" s="1854" t="s">
        <v>16</v>
      </c>
      <c r="C820" s="0" t="s">
        <v>4279</v>
      </c>
      <c r="D820" s="0" t="s">
        <v>4280</v>
      </c>
      <c r="E820" s="0" t="s">
        <v>4281</v>
      </c>
      <c r="F820" s="0" t="s">
        <v>2393</v>
      </c>
      <c r="G820" s="0" t="s">
        <v>22</v>
      </c>
      <c r="H820" s="0" t="s">
        <v>22</v>
      </c>
      <c r="I820" s="0" t="s">
        <v>921</v>
      </c>
    </row>
    <row customHeight="1" ht="11.25">
      <c r="A821" s="1854" t="s">
        <v>2291</v>
      </c>
      <c r="B821" s="1854" t="s">
        <v>16</v>
      </c>
      <c r="C821" s="0" t="s">
        <v>4292</v>
      </c>
      <c r="D821" s="0" t="s">
        <v>4293</v>
      </c>
      <c r="E821" s="0" t="s">
        <v>4294</v>
      </c>
      <c r="F821" s="0" t="s">
        <v>2416</v>
      </c>
      <c r="G821" s="0" t="s">
        <v>22</v>
      </c>
      <c r="H821" s="0" t="s">
        <v>22</v>
      </c>
      <c r="I821" s="0" t="s">
        <v>921</v>
      </c>
    </row>
    <row customHeight="1" ht="11.25">
      <c r="A822" s="1854" t="s">
        <v>2291</v>
      </c>
      <c r="B822" s="1854" t="s">
        <v>16</v>
      </c>
      <c r="C822" s="0" t="s">
        <v>4295</v>
      </c>
      <c r="D822" s="0" t="s">
        <v>4296</v>
      </c>
      <c r="E822" s="0" t="s">
        <v>4297</v>
      </c>
      <c r="F822" s="0" t="s">
        <v>2377</v>
      </c>
      <c r="G822" s="0" t="s">
        <v>4298</v>
      </c>
      <c r="H822" s="0" t="s">
        <v>22</v>
      </c>
      <c r="I822" s="0" t="s">
        <v>921</v>
      </c>
    </row>
    <row customHeight="1" ht="11.25">
      <c r="A823" s="1854" t="s">
        <v>2291</v>
      </c>
      <c r="B823" s="1854" t="s">
        <v>16</v>
      </c>
      <c r="C823" s="0" t="s">
        <v>4299</v>
      </c>
      <c r="D823" s="0" t="s">
        <v>4300</v>
      </c>
      <c r="E823" s="0" t="s">
        <v>4301</v>
      </c>
      <c r="F823" s="0" t="s">
        <v>2632</v>
      </c>
      <c r="G823" s="0" t="s">
        <v>22</v>
      </c>
      <c r="H823" s="0" t="s">
        <v>22</v>
      </c>
      <c r="I823" s="0" t="s">
        <v>921</v>
      </c>
    </row>
    <row customHeight="1" ht="11.25">
      <c r="A824" s="1854" t="s">
        <v>2291</v>
      </c>
      <c r="B824" s="1854" t="s">
        <v>16</v>
      </c>
      <c r="C824" s="0" t="s">
        <v>4305</v>
      </c>
      <c r="D824" s="0" t="s">
        <v>4306</v>
      </c>
      <c r="E824" s="0" t="s">
        <v>4281</v>
      </c>
      <c r="F824" s="0" t="s">
        <v>2822</v>
      </c>
      <c r="G824" s="0" t="s">
        <v>4307</v>
      </c>
      <c r="H824" s="0" t="s">
        <v>22</v>
      </c>
      <c r="I824" s="0" t="s">
        <v>921</v>
      </c>
    </row>
    <row customHeight="1" ht="11.25">
      <c r="A825" s="1854" t="s">
        <v>2291</v>
      </c>
      <c r="B825" s="1854" t="s">
        <v>16</v>
      </c>
      <c r="C825" s="0" t="s">
        <v>4311</v>
      </c>
      <c r="D825" s="0" t="s">
        <v>4312</v>
      </c>
      <c r="E825" s="0" t="s">
        <v>4217</v>
      </c>
      <c r="F825" s="0" t="s">
        <v>4313</v>
      </c>
      <c r="G825" s="0" t="s">
        <v>4314</v>
      </c>
      <c r="H825" s="0" t="s">
        <v>22</v>
      </c>
      <c r="I825" s="0" t="s">
        <v>921</v>
      </c>
    </row>
    <row customHeight="1" ht="11.25">
      <c r="A826" s="1854" t="s">
        <v>2291</v>
      </c>
      <c r="B826" s="1854" t="s">
        <v>16</v>
      </c>
      <c r="C826" s="0" t="s">
        <v>4315</v>
      </c>
      <c r="D826" s="0" t="s">
        <v>4316</v>
      </c>
      <c r="E826" s="0" t="s">
        <v>2631</v>
      </c>
      <c r="F826" s="0" t="s">
        <v>4317</v>
      </c>
      <c r="G826" s="0" t="s">
        <v>22</v>
      </c>
      <c r="H826" s="0" t="s">
        <v>22</v>
      </c>
      <c r="I826" s="0" t="s">
        <v>921</v>
      </c>
    </row>
    <row customHeight="1" ht="11.25">
      <c r="A827" s="1854" t="s">
        <v>2291</v>
      </c>
      <c r="B827" s="1854" t="s">
        <v>16</v>
      </c>
      <c r="C827" s="0" t="s">
        <v>4331</v>
      </c>
      <c r="D827" s="0" t="s">
        <v>4332</v>
      </c>
      <c r="E827" s="0" t="s">
        <v>4333</v>
      </c>
      <c r="F827" s="0" t="s">
        <v>4334</v>
      </c>
      <c r="G827" s="0" t="s">
        <v>22</v>
      </c>
      <c r="H827" s="0" t="s">
        <v>22</v>
      </c>
      <c r="I827" s="0" t="s">
        <v>921</v>
      </c>
    </row>
    <row customHeight="1" ht="11.25">
      <c r="A828" s="1854" t="s">
        <v>2291</v>
      </c>
      <c r="B828" s="1854" t="s">
        <v>16</v>
      </c>
      <c r="C828" s="0" t="s">
        <v>2292</v>
      </c>
      <c r="D828" s="0" t="s">
        <v>2293</v>
      </c>
      <c r="E828" s="0" t="s">
        <v>2294</v>
      </c>
      <c r="F828" s="0" t="s">
        <v>2295</v>
      </c>
      <c r="G828" s="0" t="s">
        <v>2296</v>
      </c>
      <c r="H828" s="0" t="s">
        <v>22</v>
      </c>
      <c r="I828" s="0" t="s">
        <v>881</v>
      </c>
    </row>
    <row customHeight="1" ht="11.25">
      <c r="A829" s="1854" t="s">
        <v>2291</v>
      </c>
      <c r="B829" s="1854" t="s">
        <v>16</v>
      </c>
      <c r="C829" s="0" t="s">
        <v>4344</v>
      </c>
      <c r="D829" s="0" t="s">
        <v>4345</v>
      </c>
      <c r="E829" s="0" t="s">
        <v>4346</v>
      </c>
      <c r="F829" s="0" t="s">
        <v>2359</v>
      </c>
      <c r="G829" s="0" t="s">
        <v>22</v>
      </c>
      <c r="H829" s="0" t="s">
        <v>22</v>
      </c>
      <c r="I829" s="0" t="s">
        <v>881</v>
      </c>
    </row>
    <row customHeight="1" ht="11.25">
      <c r="A830" s="1854" t="s">
        <v>2291</v>
      </c>
      <c r="B830" s="1854" t="s">
        <v>16</v>
      </c>
      <c r="C830" s="0" t="s">
        <v>2301</v>
      </c>
      <c r="D830" s="0" t="s">
        <v>2302</v>
      </c>
      <c r="E830" s="0" t="s">
        <v>2303</v>
      </c>
      <c r="F830" s="0" t="s">
        <v>2304</v>
      </c>
      <c r="G830" s="0" t="s">
        <v>2305</v>
      </c>
      <c r="H830" s="0" t="s">
        <v>22</v>
      </c>
      <c r="I830" s="0" t="s">
        <v>881</v>
      </c>
    </row>
    <row customHeight="1" ht="11.25">
      <c r="A831" s="1854" t="s">
        <v>2291</v>
      </c>
      <c r="B831" s="1854" t="s">
        <v>16</v>
      </c>
      <c r="C831" s="0" t="s">
        <v>2306</v>
      </c>
      <c r="D831" s="0" t="s">
        <v>2307</v>
      </c>
      <c r="E831" s="0" t="s">
        <v>2308</v>
      </c>
      <c r="F831" s="0" t="s">
        <v>2309</v>
      </c>
      <c r="G831" s="0" t="s">
        <v>22</v>
      </c>
      <c r="H831" s="0" t="s">
        <v>22</v>
      </c>
      <c r="I831" s="0" t="s">
        <v>881</v>
      </c>
    </row>
    <row customHeight="1" ht="11.25">
      <c r="A832" s="1854" t="s">
        <v>2291</v>
      </c>
      <c r="B832" s="1854" t="s">
        <v>16</v>
      </c>
      <c r="C832" s="0" t="s">
        <v>2310</v>
      </c>
      <c r="D832" s="0" t="s">
        <v>2311</v>
      </c>
      <c r="E832" s="0" t="s">
        <v>2312</v>
      </c>
      <c r="F832" s="0" t="s">
        <v>2313</v>
      </c>
      <c r="G832" s="0" t="s">
        <v>2314</v>
      </c>
      <c r="H832" s="0" t="s">
        <v>22</v>
      </c>
      <c r="I832" s="0" t="s">
        <v>881</v>
      </c>
    </row>
    <row customHeight="1" ht="11.25">
      <c r="A833" s="1854" t="s">
        <v>2291</v>
      </c>
      <c r="B833" s="1854" t="s">
        <v>16</v>
      </c>
      <c r="C833" s="0" t="s">
        <v>2324</v>
      </c>
      <c r="D833" s="0" t="s">
        <v>2325</v>
      </c>
      <c r="E833" s="0" t="s">
        <v>2326</v>
      </c>
      <c r="F833" s="0" t="s">
        <v>2327</v>
      </c>
      <c r="G833" s="0" t="s">
        <v>22</v>
      </c>
      <c r="H833" s="0" t="s">
        <v>22</v>
      </c>
      <c r="I833" s="0" t="s">
        <v>881</v>
      </c>
    </row>
    <row customHeight="1" ht="11.25">
      <c r="A834" s="1854" t="s">
        <v>2291</v>
      </c>
      <c r="B834" s="1854" t="s">
        <v>16</v>
      </c>
      <c r="C834" s="0" t="s">
        <v>2328</v>
      </c>
      <c r="D834" s="0" t="s">
        <v>2329</v>
      </c>
      <c r="E834" s="0" t="s">
        <v>2330</v>
      </c>
      <c r="F834" s="0" t="s">
        <v>2331</v>
      </c>
      <c r="G834" s="0" t="s">
        <v>22</v>
      </c>
      <c r="H834" s="0" t="s">
        <v>22</v>
      </c>
      <c r="I834" s="0" t="s">
        <v>881</v>
      </c>
    </row>
    <row customHeight="1" ht="11.25">
      <c r="A835" s="1854" t="s">
        <v>2291</v>
      </c>
      <c r="B835" s="1854" t="s">
        <v>16</v>
      </c>
      <c r="C835" s="0" t="s">
        <v>2332</v>
      </c>
      <c r="D835" s="0" t="s">
        <v>2333</v>
      </c>
      <c r="E835" s="0" t="s">
        <v>2334</v>
      </c>
      <c r="F835" s="0" t="s">
        <v>2335</v>
      </c>
      <c r="G835" s="0" t="s">
        <v>2336</v>
      </c>
      <c r="H835" s="0" t="s">
        <v>22</v>
      </c>
      <c r="I835" s="0" t="s">
        <v>881</v>
      </c>
    </row>
    <row customHeight="1" ht="11.25">
      <c r="A836" s="1854" t="s">
        <v>2291</v>
      </c>
      <c r="B836" s="1854" t="s">
        <v>16</v>
      </c>
      <c r="C836" s="0" t="s">
        <v>4347</v>
      </c>
      <c r="D836" s="0" t="s">
        <v>4348</v>
      </c>
      <c r="E836" s="0" t="s">
        <v>4349</v>
      </c>
      <c r="F836" s="0" t="s">
        <v>4350</v>
      </c>
      <c r="G836" s="0" t="s">
        <v>22</v>
      </c>
      <c r="H836" s="0" t="s">
        <v>22</v>
      </c>
      <c r="I836" s="0" t="s">
        <v>881</v>
      </c>
    </row>
    <row customHeight="1" ht="11.25">
      <c r="A837" s="1854" t="s">
        <v>2291</v>
      </c>
      <c r="B837" s="1854" t="s">
        <v>16</v>
      </c>
      <c r="C837" s="0" t="s">
        <v>2340</v>
      </c>
      <c r="D837" s="0" t="s">
        <v>2341</v>
      </c>
      <c r="E837" s="0" t="s">
        <v>2342</v>
      </c>
      <c r="F837" s="0" t="s">
        <v>2343</v>
      </c>
      <c r="G837" s="0" t="s">
        <v>2344</v>
      </c>
      <c r="H837" s="0" t="s">
        <v>22</v>
      </c>
      <c r="I837" s="0" t="s">
        <v>881</v>
      </c>
    </row>
    <row customHeight="1" ht="11.25">
      <c r="A838" s="1854" t="s">
        <v>2291</v>
      </c>
      <c r="B838" s="1854" t="s">
        <v>16</v>
      </c>
      <c r="C838" s="0" t="s">
        <v>2348</v>
      </c>
      <c r="D838" s="0" t="s">
        <v>2349</v>
      </c>
      <c r="E838" s="0" t="s">
        <v>2350</v>
      </c>
      <c r="F838" s="0" t="s">
        <v>2351</v>
      </c>
      <c r="G838" s="0" t="s">
        <v>22</v>
      </c>
      <c r="H838" s="0" t="s">
        <v>22</v>
      </c>
      <c r="I838" s="0" t="s">
        <v>881</v>
      </c>
    </row>
    <row customHeight="1" ht="11.25">
      <c r="A839" s="1854" t="s">
        <v>2291</v>
      </c>
      <c r="B839" s="1854" t="s">
        <v>16</v>
      </c>
      <c r="C839" s="0" t="s">
        <v>2356</v>
      </c>
      <c r="D839" s="0" t="s">
        <v>2357</v>
      </c>
      <c r="E839" s="0" t="s">
        <v>2358</v>
      </c>
      <c r="F839" s="0" t="s">
        <v>2359</v>
      </c>
      <c r="G839" s="0" t="s">
        <v>22</v>
      </c>
      <c r="H839" s="0" t="s">
        <v>22</v>
      </c>
      <c r="I839" s="0" t="s">
        <v>881</v>
      </c>
    </row>
    <row customHeight="1" ht="11.25">
      <c r="A840" s="1854" t="s">
        <v>2291</v>
      </c>
      <c r="B840" s="1854" t="s">
        <v>16</v>
      </c>
      <c r="C840" s="0" t="s">
        <v>2363</v>
      </c>
      <c r="D840" s="0" t="s">
        <v>2364</v>
      </c>
      <c r="E840" s="0" t="s">
        <v>2365</v>
      </c>
      <c r="F840" s="0" t="s">
        <v>2366</v>
      </c>
      <c r="G840" s="0" t="s">
        <v>22</v>
      </c>
      <c r="H840" s="0" t="s">
        <v>22</v>
      </c>
      <c r="I840" s="0" t="s">
        <v>881</v>
      </c>
    </row>
    <row customHeight="1" ht="11.25">
      <c r="A841" s="1854" t="s">
        <v>2291</v>
      </c>
      <c r="B841" s="1854" t="s">
        <v>16</v>
      </c>
      <c r="C841" s="0" t="s">
        <v>2367</v>
      </c>
      <c r="D841" s="0" t="s">
        <v>2368</v>
      </c>
      <c r="E841" s="0" t="s">
        <v>2365</v>
      </c>
      <c r="F841" s="0" t="s">
        <v>2369</v>
      </c>
      <c r="G841" s="0" t="s">
        <v>2370</v>
      </c>
      <c r="H841" s="0" t="s">
        <v>22</v>
      </c>
      <c r="I841" s="0" t="s">
        <v>881</v>
      </c>
    </row>
    <row customHeight="1" ht="11.25">
      <c r="A842" s="1854" t="s">
        <v>2291</v>
      </c>
      <c r="B842" s="1854" t="s">
        <v>16</v>
      </c>
      <c r="C842" s="0" t="s">
        <v>2374</v>
      </c>
      <c r="D842" s="0" t="s">
        <v>2375</v>
      </c>
      <c r="E842" s="0" t="s">
        <v>2376</v>
      </c>
      <c r="F842" s="0" t="s">
        <v>2377</v>
      </c>
      <c r="G842" s="0" t="s">
        <v>2378</v>
      </c>
      <c r="H842" s="0" t="s">
        <v>22</v>
      </c>
      <c r="I842" s="0" t="s">
        <v>881</v>
      </c>
    </row>
    <row customHeight="1" ht="11.25">
      <c r="A843" s="1854" t="s">
        <v>2291</v>
      </c>
      <c r="B843" s="1854" t="s">
        <v>16</v>
      </c>
      <c r="C843" s="0" t="s">
        <v>2382</v>
      </c>
      <c r="D843" s="0" t="s">
        <v>2383</v>
      </c>
      <c r="E843" s="0" t="s">
        <v>2384</v>
      </c>
      <c r="F843" s="0" t="s">
        <v>2313</v>
      </c>
      <c r="G843" s="0" t="s">
        <v>2385</v>
      </c>
      <c r="H843" s="0" t="s">
        <v>22</v>
      </c>
      <c r="I843" s="0" t="s">
        <v>881</v>
      </c>
    </row>
    <row customHeight="1" ht="11.25">
      <c r="A844" s="1854" t="s">
        <v>2291</v>
      </c>
      <c r="B844" s="1854" t="s">
        <v>16</v>
      </c>
      <c r="C844" s="0" t="s">
        <v>2390</v>
      </c>
      <c r="D844" s="0" t="s">
        <v>2391</v>
      </c>
      <c r="E844" s="0" t="s">
        <v>2392</v>
      </c>
      <c r="F844" s="0" t="s">
        <v>2393</v>
      </c>
      <c r="G844" s="0" t="s">
        <v>2394</v>
      </c>
      <c r="H844" s="0" t="s">
        <v>22</v>
      </c>
      <c r="I844" s="0" t="s">
        <v>881</v>
      </c>
    </row>
    <row customHeight="1" ht="11.25">
      <c r="A845" s="1854" t="s">
        <v>2291</v>
      </c>
      <c r="B845" s="1854" t="s">
        <v>16</v>
      </c>
      <c r="C845" s="0" t="s">
        <v>2402</v>
      </c>
      <c r="D845" s="0" t="s">
        <v>2403</v>
      </c>
      <c r="E845" s="0" t="s">
        <v>2404</v>
      </c>
      <c r="F845" s="0" t="s">
        <v>2405</v>
      </c>
      <c r="G845" s="0" t="s">
        <v>2406</v>
      </c>
      <c r="H845" s="0" t="s">
        <v>22</v>
      </c>
      <c r="I845" s="0" t="s">
        <v>881</v>
      </c>
    </row>
    <row customHeight="1" ht="11.25">
      <c r="A846" s="1854" t="s">
        <v>2291</v>
      </c>
      <c r="B846" s="1854" t="s">
        <v>16</v>
      </c>
      <c r="C846" s="0" t="s">
        <v>2407</v>
      </c>
      <c r="D846" s="0" t="s">
        <v>2408</v>
      </c>
      <c r="E846" s="0" t="s">
        <v>2409</v>
      </c>
      <c r="F846" s="0" t="s">
        <v>2295</v>
      </c>
      <c r="G846" s="0" t="s">
        <v>22</v>
      </c>
      <c r="H846" s="0" t="s">
        <v>22</v>
      </c>
      <c r="I846" s="0" t="s">
        <v>881</v>
      </c>
    </row>
    <row customHeight="1" ht="11.25">
      <c r="A847" s="1854" t="s">
        <v>2291</v>
      </c>
      <c r="B847" s="1854" t="s">
        <v>16</v>
      </c>
      <c r="C847" s="0" t="s">
        <v>4351</v>
      </c>
      <c r="D847" s="0" t="s">
        <v>4352</v>
      </c>
      <c r="E847" s="0" t="s">
        <v>4353</v>
      </c>
      <c r="F847" s="0" t="s">
        <v>4009</v>
      </c>
      <c r="G847" s="0" t="s">
        <v>22</v>
      </c>
      <c r="H847" s="0" t="s">
        <v>22</v>
      </c>
      <c r="I847" s="0" t="s">
        <v>881</v>
      </c>
    </row>
    <row customHeight="1" ht="11.25">
      <c r="A848" s="1854" t="s">
        <v>2291</v>
      </c>
      <c r="B848" s="1854" t="s">
        <v>16</v>
      </c>
      <c r="C848" s="0" t="s">
        <v>2417</v>
      </c>
      <c r="D848" s="0" t="s">
        <v>2418</v>
      </c>
      <c r="E848" s="0" t="s">
        <v>2419</v>
      </c>
      <c r="F848" s="0" t="s">
        <v>2420</v>
      </c>
      <c r="G848" s="0" t="s">
        <v>2421</v>
      </c>
      <c r="H848" s="0" t="s">
        <v>22</v>
      </c>
      <c r="I848" s="0" t="s">
        <v>881</v>
      </c>
    </row>
    <row customHeight="1" ht="11.25">
      <c r="A849" s="1854" t="s">
        <v>2291</v>
      </c>
      <c r="B849" s="1854" t="s">
        <v>16</v>
      </c>
      <c r="C849" s="0" t="s">
        <v>2426</v>
      </c>
      <c r="D849" s="0" t="s">
        <v>2427</v>
      </c>
      <c r="E849" s="0" t="s">
        <v>2428</v>
      </c>
      <c r="F849" s="0" t="s">
        <v>2309</v>
      </c>
      <c r="G849" s="0" t="s">
        <v>2429</v>
      </c>
      <c r="H849" s="0" t="s">
        <v>22</v>
      </c>
      <c r="I849" s="0" t="s">
        <v>881</v>
      </c>
    </row>
    <row customHeight="1" ht="11.25">
      <c r="A850" s="1854" t="s">
        <v>2291</v>
      </c>
      <c r="B850" s="1854" t="s">
        <v>16</v>
      </c>
      <c r="C850" s="0" t="s">
        <v>2430</v>
      </c>
      <c r="D850" s="0" t="s">
        <v>2431</v>
      </c>
      <c r="E850" s="0" t="s">
        <v>2432</v>
      </c>
      <c r="F850" s="0" t="s">
        <v>2377</v>
      </c>
      <c r="G850" s="0" t="s">
        <v>22</v>
      </c>
      <c r="H850" s="0" t="s">
        <v>22</v>
      </c>
      <c r="I850" s="0" t="s">
        <v>881</v>
      </c>
    </row>
    <row customHeight="1" ht="11.25">
      <c r="A851" s="1854" t="s">
        <v>2291</v>
      </c>
      <c r="B851" s="1854" t="s">
        <v>16</v>
      </c>
      <c r="C851" s="0" t="s">
        <v>4354</v>
      </c>
      <c r="D851" s="0" t="s">
        <v>4355</v>
      </c>
      <c r="E851" s="0" t="s">
        <v>4356</v>
      </c>
      <c r="F851" s="0" t="s">
        <v>2632</v>
      </c>
      <c r="G851" s="0" t="s">
        <v>22</v>
      </c>
      <c r="H851" s="0" t="s">
        <v>22</v>
      </c>
      <c r="I851" s="0" t="s">
        <v>881</v>
      </c>
    </row>
    <row customHeight="1" ht="11.25">
      <c r="A852" s="1854" t="s">
        <v>2291</v>
      </c>
      <c r="B852" s="1854" t="s">
        <v>16</v>
      </c>
      <c r="C852" s="0" t="s">
        <v>4357</v>
      </c>
      <c r="D852" s="0" t="s">
        <v>4358</v>
      </c>
      <c r="E852" s="0" t="s">
        <v>4359</v>
      </c>
      <c r="F852" s="0" t="s">
        <v>2420</v>
      </c>
      <c r="G852" s="0" t="s">
        <v>4360</v>
      </c>
      <c r="H852" s="0" t="s">
        <v>22</v>
      </c>
      <c r="I852" s="0" t="s">
        <v>881</v>
      </c>
    </row>
    <row customHeight="1" ht="11.25">
      <c r="A853" s="1854" t="s">
        <v>2291</v>
      </c>
      <c r="B853" s="1854" t="s">
        <v>16</v>
      </c>
      <c r="C853" s="0" t="s">
        <v>2436</v>
      </c>
      <c r="D853" s="0" t="s">
        <v>2437</v>
      </c>
      <c r="E853" s="0" t="s">
        <v>2438</v>
      </c>
      <c r="F853" s="0" t="s">
        <v>2309</v>
      </c>
      <c r="G853" s="0" t="s">
        <v>22</v>
      </c>
      <c r="H853" s="0" t="s">
        <v>22</v>
      </c>
      <c r="I853" s="0" t="s">
        <v>881</v>
      </c>
    </row>
    <row customHeight="1" ht="11.25">
      <c r="A854" s="1854" t="s">
        <v>2291</v>
      </c>
      <c r="B854" s="1854" t="s">
        <v>16</v>
      </c>
      <c r="C854" s="0" t="s">
        <v>2442</v>
      </c>
      <c r="D854" s="0" t="s">
        <v>2443</v>
      </c>
      <c r="E854" s="0" t="s">
        <v>2444</v>
      </c>
      <c r="F854" s="0" t="s">
        <v>2377</v>
      </c>
      <c r="G854" s="0" t="s">
        <v>2445</v>
      </c>
      <c r="H854" s="0" t="s">
        <v>22</v>
      </c>
      <c r="I854" s="0" t="s">
        <v>881</v>
      </c>
    </row>
    <row customHeight="1" ht="11.25">
      <c r="A855" s="1854" t="s">
        <v>2291</v>
      </c>
      <c r="B855" s="1854" t="s">
        <v>16</v>
      </c>
      <c r="C855" s="0" t="s">
        <v>2452</v>
      </c>
      <c r="D855" s="0" t="s">
        <v>2453</v>
      </c>
      <c r="E855" s="0" t="s">
        <v>2454</v>
      </c>
      <c r="F855" s="0" t="s">
        <v>2416</v>
      </c>
      <c r="G855" s="0" t="s">
        <v>2455</v>
      </c>
      <c r="H855" s="0" t="s">
        <v>22</v>
      </c>
      <c r="I855" s="0" t="s">
        <v>881</v>
      </c>
    </row>
    <row customHeight="1" ht="11.25">
      <c r="A856" s="1854" t="s">
        <v>2291</v>
      </c>
      <c r="B856" s="1854" t="s">
        <v>16</v>
      </c>
      <c r="C856" s="0" t="s">
        <v>2456</v>
      </c>
      <c r="D856" s="0" t="s">
        <v>2457</v>
      </c>
      <c r="E856" s="0" t="s">
        <v>2458</v>
      </c>
      <c r="F856" s="0" t="s">
        <v>2405</v>
      </c>
      <c r="G856" s="0" t="s">
        <v>2459</v>
      </c>
      <c r="H856" s="0" t="s">
        <v>22</v>
      </c>
      <c r="I856" s="0" t="s">
        <v>881</v>
      </c>
    </row>
    <row customHeight="1" ht="11.25">
      <c r="A857" s="1854" t="s">
        <v>2291</v>
      </c>
      <c r="B857" s="1854" t="s">
        <v>16</v>
      </c>
      <c r="C857" s="0" t="s">
        <v>2460</v>
      </c>
      <c r="D857" s="0" t="s">
        <v>2461</v>
      </c>
      <c r="E857" s="0" t="s">
        <v>2317</v>
      </c>
      <c r="F857" s="0" t="s">
        <v>2462</v>
      </c>
      <c r="G857" s="0" t="s">
        <v>2463</v>
      </c>
      <c r="H857" s="0" t="s">
        <v>22</v>
      </c>
      <c r="I857" s="0" t="s">
        <v>881</v>
      </c>
    </row>
    <row customHeight="1" ht="11.25">
      <c r="A858" s="1854" t="s">
        <v>2291</v>
      </c>
      <c r="B858" s="1854" t="s">
        <v>16</v>
      </c>
      <c r="C858" s="0" t="s">
        <v>2464</v>
      </c>
      <c r="D858" s="0" t="s">
        <v>2465</v>
      </c>
      <c r="E858" s="0" t="s">
        <v>2466</v>
      </c>
      <c r="F858" s="0" t="s">
        <v>2467</v>
      </c>
      <c r="G858" s="0" t="s">
        <v>2468</v>
      </c>
      <c r="H858" s="0" t="s">
        <v>22</v>
      </c>
      <c r="I858" s="0" t="s">
        <v>881</v>
      </c>
    </row>
    <row customHeight="1" ht="11.25">
      <c r="A859" s="1854" t="s">
        <v>2291</v>
      </c>
      <c r="B859" s="1854" t="s">
        <v>16</v>
      </c>
      <c r="C859" s="0" t="s">
        <v>4361</v>
      </c>
      <c r="D859" s="0" t="s">
        <v>4362</v>
      </c>
      <c r="E859" s="0" t="s">
        <v>4363</v>
      </c>
      <c r="F859" s="0" t="s">
        <v>2632</v>
      </c>
      <c r="G859" s="0" t="s">
        <v>4364</v>
      </c>
      <c r="H859" s="0" t="s">
        <v>22</v>
      </c>
      <c r="I859" s="0" t="s">
        <v>881</v>
      </c>
    </row>
    <row customHeight="1" ht="11.25">
      <c r="A860" s="1854" t="s">
        <v>2291</v>
      </c>
      <c r="B860" s="1854" t="s">
        <v>16</v>
      </c>
      <c r="C860" s="0" t="s">
        <v>2473</v>
      </c>
      <c r="D860" s="0" t="s">
        <v>2474</v>
      </c>
      <c r="E860" s="0" t="s">
        <v>2475</v>
      </c>
      <c r="F860" s="0" t="s">
        <v>2476</v>
      </c>
      <c r="G860" s="0" t="s">
        <v>22</v>
      </c>
      <c r="H860" s="0" t="s">
        <v>22</v>
      </c>
      <c r="I860" s="0" t="s">
        <v>881</v>
      </c>
    </row>
    <row customHeight="1" ht="11.25">
      <c r="A861" s="1854" t="s">
        <v>2291</v>
      </c>
      <c r="B861" s="1854" t="s">
        <v>16</v>
      </c>
      <c r="C861" s="0" t="s">
        <v>2480</v>
      </c>
      <c r="D861" s="0" t="s">
        <v>2481</v>
      </c>
      <c r="E861" s="0" t="s">
        <v>2482</v>
      </c>
      <c r="F861" s="0" t="s">
        <v>2467</v>
      </c>
      <c r="G861" s="0" t="s">
        <v>22</v>
      </c>
      <c r="H861" s="0" t="s">
        <v>22</v>
      </c>
      <c r="I861" s="0" t="s">
        <v>881</v>
      </c>
    </row>
    <row customHeight="1" ht="11.25">
      <c r="A862" s="1854" t="s">
        <v>2291</v>
      </c>
      <c r="B862" s="1854" t="s">
        <v>16</v>
      </c>
      <c r="C862" s="0" t="s">
        <v>2487</v>
      </c>
      <c r="D862" s="0" t="s">
        <v>2488</v>
      </c>
      <c r="E862" s="0" t="s">
        <v>2489</v>
      </c>
      <c r="F862" s="0" t="s">
        <v>2393</v>
      </c>
      <c r="G862" s="0" t="s">
        <v>2490</v>
      </c>
      <c r="H862" s="0" t="s">
        <v>22</v>
      </c>
      <c r="I862" s="0" t="s">
        <v>881</v>
      </c>
    </row>
    <row customHeight="1" ht="11.25">
      <c r="A863" s="1854" t="s">
        <v>2291</v>
      </c>
      <c r="B863" s="1854" t="s">
        <v>16</v>
      </c>
      <c r="C863" s="0" t="s">
        <v>2494</v>
      </c>
      <c r="D863" s="0" t="s">
        <v>2495</v>
      </c>
      <c r="E863" s="0" t="s">
        <v>2489</v>
      </c>
      <c r="F863" s="0" t="s">
        <v>2496</v>
      </c>
      <c r="G863" s="0" t="s">
        <v>22</v>
      </c>
      <c r="H863" s="0" t="s">
        <v>22</v>
      </c>
      <c r="I863" s="0" t="s">
        <v>881</v>
      </c>
    </row>
    <row customHeight="1" ht="11.25">
      <c r="A864" s="1854" t="s">
        <v>2291</v>
      </c>
      <c r="B864" s="1854" t="s">
        <v>16</v>
      </c>
      <c r="C864" s="0" t="s">
        <v>2500</v>
      </c>
      <c r="D864" s="0" t="s">
        <v>2501</v>
      </c>
      <c r="E864" s="0" t="s">
        <v>2489</v>
      </c>
      <c r="F864" s="0" t="s">
        <v>2502</v>
      </c>
      <c r="G864" s="0" t="s">
        <v>22</v>
      </c>
      <c r="H864" s="0" t="s">
        <v>22</v>
      </c>
      <c r="I864" s="0" t="s">
        <v>881</v>
      </c>
    </row>
    <row customHeight="1" ht="11.25">
      <c r="A865" s="1854" t="s">
        <v>2291</v>
      </c>
      <c r="B865" s="1854" t="s">
        <v>16</v>
      </c>
      <c r="C865" s="0" t="s">
        <v>2506</v>
      </c>
      <c r="D865" s="0" t="s">
        <v>2507</v>
      </c>
      <c r="E865" s="0" t="s">
        <v>2489</v>
      </c>
      <c r="F865" s="0" t="s">
        <v>2508</v>
      </c>
      <c r="G865" s="0" t="s">
        <v>22</v>
      </c>
      <c r="H865" s="0" t="s">
        <v>22</v>
      </c>
      <c r="I865" s="0" t="s">
        <v>881</v>
      </c>
    </row>
    <row customHeight="1" ht="11.25">
      <c r="A866" s="1854" t="s">
        <v>2291</v>
      </c>
      <c r="B866" s="1854" t="s">
        <v>16</v>
      </c>
      <c r="C866" s="0" t="s">
        <v>2509</v>
      </c>
      <c r="D866" s="0" t="s">
        <v>2510</v>
      </c>
      <c r="E866" s="0" t="s">
        <v>2489</v>
      </c>
      <c r="F866" s="0" t="s">
        <v>2511</v>
      </c>
      <c r="G866" s="0" t="s">
        <v>22</v>
      </c>
      <c r="H866" s="0" t="s">
        <v>22</v>
      </c>
      <c r="I866" s="0" t="s">
        <v>881</v>
      </c>
    </row>
    <row customHeight="1" ht="11.25">
      <c r="A867" s="1854" t="s">
        <v>2291</v>
      </c>
      <c r="B867" s="1854" t="s">
        <v>16</v>
      </c>
      <c r="C867" s="0" t="s">
        <v>2515</v>
      </c>
      <c r="D867" s="0" t="s">
        <v>2516</v>
      </c>
      <c r="E867" s="0" t="s">
        <v>2489</v>
      </c>
      <c r="F867" s="0" t="s">
        <v>2517</v>
      </c>
      <c r="G867" s="0" t="s">
        <v>22</v>
      </c>
      <c r="H867" s="0" t="s">
        <v>22</v>
      </c>
      <c r="I867" s="0" t="s">
        <v>881</v>
      </c>
    </row>
    <row customHeight="1" ht="11.25">
      <c r="A868" s="1854" t="s">
        <v>2291</v>
      </c>
      <c r="B868" s="1854" t="s">
        <v>16</v>
      </c>
      <c r="C868" s="0" t="s">
        <v>2518</v>
      </c>
      <c r="D868" s="0" t="s">
        <v>2519</v>
      </c>
      <c r="E868" s="0" t="s">
        <v>2489</v>
      </c>
      <c r="F868" s="0" t="s">
        <v>2520</v>
      </c>
      <c r="G868" s="0" t="s">
        <v>22</v>
      </c>
      <c r="H868" s="0" t="s">
        <v>22</v>
      </c>
      <c r="I868" s="0" t="s">
        <v>881</v>
      </c>
    </row>
    <row customHeight="1" ht="11.25">
      <c r="A869" s="1854" t="s">
        <v>2291</v>
      </c>
      <c r="B869" s="1854" t="s">
        <v>16</v>
      </c>
      <c r="C869" s="0" t="s">
        <v>2530</v>
      </c>
      <c r="D869" s="0" t="s">
        <v>2531</v>
      </c>
      <c r="E869" s="0" t="s">
        <v>2532</v>
      </c>
      <c r="F869" s="0" t="s">
        <v>2313</v>
      </c>
      <c r="G869" s="0" t="s">
        <v>2533</v>
      </c>
      <c r="H869" s="0" t="s">
        <v>2534</v>
      </c>
      <c r="I869" s="0" t="s">
        <v>881</v>
      </c>
    </row>
    <row customHeight="1" ht="11.25">
      <c r="A870" s="1854" t="s">
        <v>2291</v>
      </c>
      <c r="B870" s="1854" t="s">
        <v>16</v>
      </c>
      <c r="C870" s="0" t="s">
        <v>2535</v>
      </c>
      <c r="D870" s="0" t="s">
        <v>2536</v>
      </c>
      <c r="E870" s="0" t="s">
        <v>2537</v>
      </c>
      <c r="F870" s="0" t="s">
        <v>2405</v>
      </c>
      <c r="G870" s="0" t="s">
        <v>2538</v>
      </c>
      <c r="H870" s="0" t="s">
        <v>22</v>
      </c>
      <c r="I870" s="0" t="s">
        <v>881</v>
      </c>
    </row>
    <row customHeight="1" ht="11.25">
      <c r="A871" s="1854" t="s">
        <v>2291</v>
      </c>
      <c r="B871" s="1854" t="s">
        <v>16</v>
      </c>
      <c r="C871" s="0" t="s">
        <v>4365</v>
      </c>
      <c r="D871" s="0" t="s">
        <v>4366</v>
      </c>
      <c r="E871" s="0" t="s">
        <v>4367</v>
      </c>
      <c r="F871" s="0" t="s">
        <v>2295</v>
      </c>
      <c r="G871" s="0" t="s">
        <v>4368</v>
      </c>
      <c r="H871" s="0" t="s">
        <v>22</v>
      </c>
      <c r="I871" s="0" t="s">
        <v>881</v>
      </c>
    </row>
    <row customHeight="1" ht="11.25">
      <c r="A872" s="1854" t="s">
        <v>2291</v>
      </c>
      <c r="B872" s="1854" t="s">
        <v>16</v>
      </c>
      <c r="C872" s="0" t="s">
        <v>2542</v>
      </c>
      <c r="D872" s="0" t="s">
        <v>2543</v>
      </c>
      <c r="E872" s="0" t="s">
        <v>2544</v>
      </c>
      <c r="F872" s="0" t="s">
        <v>2295</v>
      </c>
      <c r="G872" s="0" t="s">
        <v>22</v>
      </c>
      <c r="H872" s="0" t="s">
        <v>22</v>
      </c>
      <c r="I872" s="0" t="s">
        <v>881</v>
      </c>
    </row>
    <row customHeight="1" ht="11.25">
      <c r="A873" s="1854" t="s">
        <v>2291</v>
      </c>
      <c r="B873" s="1854" t="s">
        <v>16</v>
      </c>
      <c r="C873" s="0" t="s">
        <v>2545</v>
      </c>
      <c r="D873" s="0" t="s">
        <v>2546</v>
      </c>
      <c r="E873" s="0" t="s">
        <v>2547</v>
      </c>
      <c r="F873" s="0" t="s">
        <v>2313</v>
      </c>
      <c r="G873" s="0" t="s">
        <v>2548</v>
      </c>
      <c r="H873" s="0" t="s">
        <v>22</v>
      </c>
      <c r="I873" s="0" t="s">
        <v>881</v>
      </c>
    </row>
    <row customHeight="1" ht="11.25">
      <c r="A874" s="1854" t="s">
        <v>2291</v>
      </c>
      <c r="B874" s="1854" t="s">
        <v>16</v>
      </c>
      <c r="C874" s="0" t="s">
        <v>2572</v>
      </c>
      <c r="D874" s="0" t="s">
        <v>2573</v>
      </c>
      <c r="E874" s="0" t="s">
        <v>2551</v>
      </c>
      <c r="F874" s="0" t="s">
        <v>2574</v>
      </c>
      <c r="G874" s="0" t="s">
        <v>22</v>
      </c>
      <c r="H874" s="0" t="s">
        <v>22</v>
      </c>
      <c r="I874" s="0" t="s">
        <v>881</v>
      </c>
    </row>
    <row customHeight="1" ht="11.25">
      <c r="A875" s="1854" t="s">
        <v>2291</v>
      </c>
      <c r="B875" s="1854" t="s">
        <v>16</v>
      </c>
      <c r="C875" s="0" t="s">
        <v>2578</v>
      </c>
      <c r="D875" s="0" t="s">
        <v>2579</v>
      </c>
      <c r="E875" s="0" t="s">
        <v>2551</v>
      </c>
      <c r="F875" s="0" t="s">
        <v>2580</v>
      </c>
      <c r="G875" s="0" t="s">
        <v>22</v>
      </c>
      <c r="H875" s="0" t="s">
        <v>22</v>
      </c>
      <c r="I875" s="0" t="s">
        <v>881</v>
      </c>
    </row>
    <row customHeight="1" ht="11.25">
      <c r="A876" s="1854" t="s">
        <v>2291</v>
      </c>
      <c r="B876" s="1854" t="s">
        <v>16</v>
      </c>
      <c r="C876" s="0" t="s">
        <v>2596</v>
      </c>
      <c r="D876" s="0" t="s">
        <v>2597</v>
      </c>
      <c r="E876" s="0" t="s">
        <v>2551</v>
      </c>
      <c r="F876" s="0" t="s">
        <v>2598</v>
      </c>
      <c r="G876" s="0" t="s">
        <v>22</v>
      </c>
      <c r="H876" s="0" t="s">
        <v>22</v>
      </c>
      <c r="I876" s="0" t="s">
        <v>881</v>
      </c>
    </row>
    <row customHeight="1" ht="11.25">
      <c r="A877" s="1854" t="s">
        <v>2291</v>
      </c>
      <c r="B877" s="1854" t="s">
        <v>16</v>
      </c>
      <c r="C877" s="0" t="s">
        <v>2606</v>
      </c>
      <c r="D877" s="0" t="s">
        <v>2607</v>
      </c>
      <c r="E877" s="0" t="s">
        <v>2608</v>
      </c>
      <c r="F877" s="0" t="s">
        <v>2359</v>
      </c>
      <c r="G877" s="0" t="s">
        <v>22</v>
      </c>
      <c r="H877" s="0" t="s">
        <v>22</v>
      </c>
      <c r="I877" s="0" t="s">
        <v>881</v>
      </c>
    </row>
    <row customHeight="1" ht="11.25">
      <c r="A878" s="1854" t="s">
        <v>2291</v>
      </c>
      <c r="B878" s="1854" t="s">
        <v>16</v>
      </c>
      <c r="C878" s="0" t="s">
        <v>2612</v>
      </c>
      <c r="D878" s="0" t="s">
        <v>2613</v>
      </c>
      <c r="E878" s="0" t="s">
        <v>2614</v>
      </c>
      <c r="F878" s="0" t="s">
        <v>2393</v>
      </c>
      <c r="G878" s="0" t="s">
        <v>22</v>
      </c>
      <c r="H878" s="0" t="s">
        <v>22</v>
      </c>
      <c r="I878" s="0" t="s">
        <v>881</v>
      </c>
    </row>
    <row customHeight="1" ht="11.25">
      <c r="A879" s="1854" t="s">
        <v>2291</v>
      </c>
      <c r="B879" s="1854" t="s">
        <v>16</v>
      </c>
      <c r="C879" s="0" t="s">
        <v>2622</v>
      </c>
      <c r="D879" s="0" t="s">
        <v>2623</v>
      </c>
      <c r="E879" s="0" t="s">
        <v>2624</v>
      </c>
      <c r="F879" s="0" t="s">
        <v>2405</v>
      </c>
      <c r="G879" s="0" t="s">
        <v>2625</v>
      </c>
      <c r="H879" s="0" t="s">
        <v>2534</v>
      </c>
      <c r="I879" s="0" t="s">
        <v>881</v>
      </c>
    </row>
    <row customHeight="1" ht="11.25">
      <c r="A880" s="1854" t="s">
        <v>2291</v>
      </c>
      <c r="B880" s="1854" t="s">
        <v>16</v>
      </c>
      <c r="C880" s="0" t="s">
        <v>2626</v>
      </c>
      <c r="D880" s="0" t="s">
        <v>2627</v>
      </c>
      <c r="E880" s="0" t="s">
        <v>2628</v>
      </c>
      <c r="F880" s="0" t="s">
        <v>2369</v>
      </c>
      <c r="G880" s="0" t="s">
        <v>22</v>
      </c>
      <c r="H880" s="0" t="s">
        <v>22</v>
      </c>
      <c r="I880" s="0" t="s">
        <v>881</v>
      </c>
    </row>
    <row customHeight="1" ht="11.25">
      <c r="A881" s="1854" t="s">
        <v>2291</v>
      </c>
      <c r="B881" s="1854" t="s">
        <v>16</v>
      </c>
      <c r="C881" s="0" t="s">
        <v>4369</v>
      </c>
      <c r="D881" s="0" t="s">
        <v>4370</v>
      </c>
      <c r="E881" s="0" t="s">
        <v>4371</v>
      </c>
      <c r="F881" s="0" t="s">
        <v>2632</v>
      </c>
      <c r="G881" s="0" t="s">
        <v>22</v>
      </c>
      <c r="H881" s="0" t="s">
        <v>2534</v>
      </c>
      <c r="I881" s="0" t="s">
        <v>881</v>
      </c>
    </row>
    <row customHeight="1" ht="11.25">
      <c r="A882" s="1854" t="s">
        <v>2291</v>
      </c>
      <c r="B882" s="1854" t="s">
        <v>16</v>
      </c>
      <c r="C882" s="0" t="s">
        <v>2637</v>
      </c>
      <c r="D882" s="0" t="s">
        <v>2638</v>
      </c>
      <c r="E882" s="0" t="s">
        <v>2639</v>
      </c>
      <c r="F882" s="0" t="s">
        <v>2640</v>
      </c>
      <c r="G882" s="0" t="s">
        <v>2641</v>
      </c>
      <c r="H882" s="0" t="s">
        <v>2642</v>
      </c>
      <c r="I882" s="0" t="s">
        <v>881</v>
      </c>
    </row>
    <row customHeight="1" ht="11.25">
      <c r="A883" s="1854" t="s">
        <v>2291</v>
      </c>
      <c r="B883" s="1854" t="s">
        <v>16</v>
      </c>
      <c r="C883" s="0" t="s">
        <v>4372</v>
      </c>
      <c r="D883" s="0" t="s">
        <v>4373</v>
      </c>
      <c r="E883" s="0" t="s">
        <v>4374</v>
      </c>
      <c r="F883" s="0" t="s">
        <v>2640</v>
      </c>
      <c r="G883" s="0" t="s">
        <v>4375</v>
      </c>
      <c r="H883" s="0" t="s">
        <v>22</v>
      </c>
      <c r="I883" s="0" t="s">
        <v>881</v>
      </c>
    </row>
    <row customHeight="1" ht="11.25">
      <c r="A884" s="1854" t="s">
        <v>2291</v>
      </c>
      <c r="B884" s="1854" t="s">
        <v>16</v>
      </c>
      <c r="C884" s="0" t="s">
        <v>2643</v>
      </c>
      <c r="D884" s="0" t="s">
        <v>2644</v>
      </c>
      <c r="E884" s="0" t="s">
        <v>2645</v>
      </c>
      <c r="F884" s="0" t="s">
        <v>2405</v>
      </c>
      <c r="G884" s="0" t="s">
        <v>2646</v>
      </c>
      <c r="H884" s="0" t="s">
        <v>22</v>
      </c>
      <c r="I884" s="0" t="s">
        <v>881</v>
      </c>
    </row>
    <row customHeight="1" ht="11.25">
      <c r="A885" s="1854" t="s">
        <v>2291</v>
      </c>
      <c r="B885" s="1854" t="s">
        <v>16</v>
      </c>
      <c r="C885" s="0" t="s">
        <v>2647</v>
      </c>
      <c r="D885" s="0" t="s">
        <v>2648</v>
      </c>
      <c r="E885" s="0" t="s">
        <v>2649</v>
      </c>
      <c r="F885" s="0" t="s">
        <v>2416</v>
      </c>
      <c r="G885" s="0" t="s">
        <v>22</v>
      </c>
      <c r="H885" s="0" t="s">
        <v>22</v>
      </c>
      <c r="I885" s="0" t="s">
        <v>881</v>
      </c>
    </row>
    <row customHeight="1" ht="11.25">
      <c r="A886" s="1854" t="s">
        <v>2291</v>
      </c>
      <c r="B886" s="1854" t="s">
        <v>16</v>
      </c>
      <c r="C886" s="0" t="s">
        <v>2666</v>
      </c>
      <c r="D886" s="0" t="s">
        <v>2667</v>
      </c>
      <c r="E886" s="0" t="s">
        <v>2668</v>
      </c>
      <c r="F886" s="0" t="s">
        <v>2327</v>
      </c>
      <c r="G886" s="0" t="s">
        <v>2669</v>
      </c>
      <c r="H886" s="0" t="s">
        <v>22</v>
      </c>
      <c r="I886" s="0" t="s">
        <v>881</v>
      </c>
    </row>
    <row customHeight="1" ht="11.25">
      <c r="A887" s="1854" t="s">
        <v>2291</v>
      </c>
      <c r="B887" s="1854" t="s">
        <v>16</v>
      </c>
      <c r="C887" s="0" t="s">
        <v>2670</v>
      </c>
      <c r="D887" s="0" t="s">
        <v>2671</v>
      </c>
      <c r="E887" s="0" t="s">
        <v>2672</v>
      </c>
      <c r="F887" s="0" t="s">
        <v>2295</v>
      </c>
      <c r="G887" s="0" t="s">
        <v>22</v>
      </c>
      <c r="H887" s="0" t="s">
        <v>22</v>
      </c>
      <c r="I887" s="0" t="s">
        <v>881</v>
      </c>
    </row>
    <row customHeight="1" ht="11.25">
      <c r="A888" s="1854" t="s">
        <v>2291</v>
      </c>
      <c r="B888" s="1854" t="s">
        <v>16</v>
      </c>
      <c r="C888" s="0" t="s">
        <v>2679</v>
      </c>
      <c r="D888" s="0" t="s">
        <v>2680</v>
      </c>
      <c r="E888" s="0" t="s">
        <v>2681</v>
      </c>
      <c r="F888" s="0" t="s">
        <v>2416</v>
      </c>
      <c r="G888" s="0" t="s">
        <v>22</v>
      </c>
      <c r="H888" s="0" t="s">
        <v>22</v>
      </c>
      <c r="I888" s="0" t="s">
        <v>881</v>
      </c>
    </row>
    <row customHeight="1" ht="11.25">
      <c r="A889" s="1854" t="s">
        <v>2291</v>
      </c>
      <c r="B889" s="1854" t="s">
        <v>16</v>
      </c>
      <c r="C889" s="0" t="s">
        <v>2682</v>
      </c>
      <c r="D889" s="0" t="s">
        <v>2683</v>
      </c>
      <c r="E889" s="0" t="s">
        <v>2684</v>
      </c>
      <c r="F889" s="0" t="s">
        <v>2389</v>
      </c>
      <c r="G889" s="0" t="s">
        <v>22</v>
      </c>
      <c r="H889" s="0" t="s">
        <v>22</v>
      </c>
      <c r="I889" s="0" t="s">
        <v>881</v>
      </c>
    </row>
    <row customHeight="1" ht="11.25">
      <c r="A890" s="1854" t="s">
        <v>2291</v>
      </c>
      <c r="B890" s="1854" t="s">
        <v>16</v>
      </c>
      <c r="C890" s="0" t="s">
        <v>2685</v>
      </c>
      <c r="D890" s="0" t="s">
        <v>2686</v>
      </c>
      <c r="E890" s="0" t="s">
        <v>2687</v>
      </c>
      <c r="F890" s="0" t="s">
        <v>2688</v>
      </c>
      <c r="G890" s="0" t="s">
        <v>2689</v>
      </c>
      <c r="H890" s="0" t="s">
        <v>22</v>
      </c>
      <c r="I890" s="0" t="s">
        <v>881</v>
      </c>
    </row>
    <row customHeight="1" ht="11.25">
      <c r="A891" s="1854" t="s">
        <v>2291</v>
      </c>
      <c r="B891" s="1854" t="s">
        <v>16</v>
      </c>
      <c r="C891" s="0" t="s">
        <v>2693</v>
      </c>
      <c r="D891" s="0" t="s">
        <v>2694</v>
      </c>
      <c r="E891" s="0" t="s">
        <v>2695</v>
      </c>
      <c r="F891" s="0" t="s">
        <v>2696</v>
      </c>
      <c r="G891" s="0" t="s">
        <v>22</v>
      </c>
      <c r="H891" s="0" t="s">
        <v>22</v>
      </c>
      <c r="I891" s="0" t="s">
        <v>881</v>
      </c>
    </row>
    <row customHeight="1" ht="11.25">
      <c r="A892" s="1854" t="s">
        <v>2291</v>
      </c>
      <c r="B892" s="1854" t="s">
        <v>16</v>
      </c>
      <c r="C892" s="0" t="s">
        <v>2697</v>
      </c>
      <c r="D892" s="0" t="s">
        <v>2698</v>
      </c>
      <c r="E892" s="0" t="s">
        <v>2695</v>
      </c>
      <c r="F892" s="0" t="s">
        <v>2416</v>
      </c>
      <c r="G892" s="0" t="s">
        <v>2548</v>
      </c>
      <c r="H892" s="0" t="s">
        <v>22</v>
      </c>
      <c r="I892" s="0" t="s">
        <v>881</v>
      </c>
    </row>
    <row customHeight="1" ht="11.25">
      <c r="A893" s="1854" t="s">
        <v>2291</v>
      </c>
      <c r="B893" s="1854" t="s">
        <v>16</v>
      </c>
      <c r="C893" s="0" t="s">
        <v>2718</v>
      </c>
      <c r="D893" s="0" t="s">
        <v>2719</v>
      </c>
      <c r="E893" s="0" t="s">
        <v>2720</v>
      </c>
      <c r="F893" s="0" t="s">
        <v>2327</v>
      </c>
      <c r="G893" s="0" t="s">
        <v>2721</v>
      </c>
      <c r="H893" s="0" t="s">
        <v>22</v>
      </c>
      <c r="I893" s="0" t="s">
        <v>881</v>
      </c>
    </row>
    <row customHeight="1" ht="11.25">
      <c r="A894" s="1854" t="s">
        <v>2291</v>
      </c>
      <c r="B894" s="1854" t="s">
        <v>16</v>
      </c>
      <c r="C894" s="0" t="s">
        <v>2725</v>
      </c>
      <c r="D894" s="0" t="s">
        <v>2726</v>
      </c>
      <c r="E894" s="0" t="s">
        <v>2475</v>
      </c>
      <c r="F894" s="0" t="s">
        <v>2727</v>
      </c>
      <c r="G894" s="0" t="s">
        <v>22</v>
      </c>
      <c r="H894" s="0" t="s">
        <v>22</v>
      </c>
      <c r="I894" s="0" t="s">
        <v>881</v>
      </c>
    </row>
    <row customHeight="1" ht="11.25">
      <c r="A895" s="1854" t="s">
        <v>2291</v>
      </c>
      <c r="B895" s="1854" t="s">
        <v>16</v>
      </c>
      <c r="C895" s="0" t="s">
        <v>2731</v>
      </c>
      <c r="D895" s="0" t="s">
        <v>2732</v>
      </c>
      <c r="E895" s="0" t="s">
        <v>2733</v>
      </c>
      <c r="F895" s="0" t="s">
        <v>2401</v>
      </c>
      <c r="G895" s="0" t="s">
        <v>22</v>
      </c>
      <c r="H895" s="0" t="s">
        <v>22</v>
      </c>
      <c r="I895" s="0" t="s">
        <v>881</v>
      </c>
    </row>
    <row customHeight="1" ht="11.25">
      <c r="A896" s="1854" t="s">
        <v>2291</v>
      </c>
      <c r="B896" s="1854" t="s">
        <v>16</v>
      </c>
      <c r="C896" s="0" t="s">
        <v>2740</v>
      </c>
      <c r="D896" s="0" t="s">
        <v>2741</v>
      </c>
      <c r="E896" s="0" t="s">
        <v>2742</v>
      </c>
      <c r="F896" s="0" t="s">
        <v>2743</v>
      </c>
      <c r="G896" s="0" t="s">
        <v>22</v>
      </c>
      <c r="H896" s="0" t="s">
        <v>22</v>
      </c>
      <c r="I896" s="0" t="s">
        <v>881</v>
      </c>
    </row>
    <row customHeight="1" ht="11.25">
      <c r="A897" s="1854" t="s">
        <v>2291</v>
      </c>
      <c r="B897" s="1854" t="s">
        <v>16</v>
      </c>
      <c r="C897" s="0" t="s">
        <v>2751</v>
      </c>
      <c r="D897" s="0" t="s">
        <v>2752</v>
      </c>
      <c r="E897" s="0" t="s">
        <v>2753</v>
      </c>
      <c r="F897" s="0" t="s">
        <v>2393</v>
      </c>
      <c r="G897" s="0" t="s">
        <v>22</v>
      </c>
      <c r="H897" s="0" t="s">
        <v>22</v>
      </c>
      <c r="I897" s="0" t="s">
        <v>881</v>
      </c>
    </row>
    <row customHeight="1" ht="11.25">
      <c r="A898" s="1854" t="s">
        <v>2291</v>
      </c>
      <c r="B898" s="1854" t="s">
        <v>16</v>
      </c>
      <c r="C898" s="0" t="s">
        <v>2754</v>
      </c>
      <c r="D898" s="0" t="s">
        <v>2755</v>
      </c>
      <c r="E898" s="0" t="s">
        <v>2756</v>
      </c>
      <c r="F898" s="0" t="s">
        <v>2750</v>
      </c>
      <c r="G898" s="0" t="s">
        <v>22</v>
      </c>
      <c r="H898" s="0" t="s">
        <v>22</v>
      </c>
      <c r="I898" s="0" t="s">
        <v>881</v>
      </c>
    </row>
    <row customHeight="1" ht="11.25">
      <c r="A899" s="1854" t="s">
        <v>2291</v>
      </c>
      <c r="B899" s="1854" t="s">
        <v>16</v>
      </c>
      <c r="C899" s="0" t="s">
        <v>2761</v>
      </c>
      <c r="D899" s="0" t="s">
        <v>2762</v>
      </c>
      <c r="E899" s="0" t="s">
        <v>2763</v>
      </c>
      <c r="F899" s="0" t="s">
        <v>2405</v>
      </c>
      <c r="G899" s="0" t="s">
        <v>22</v>
      </c>
      <c r="H899" s="0" t="s">
        <v>22</v>
      </c>
      <c r="I899" s="0" t="s">
        <v>881</v>
      </c>
    </row>
    <row customHeight="1" ht="11.25">
      <c r="A900" s="1854" t="s">
        <v>2291</v>
      </c>
      <c r="B900" s="1854" t="s">
        <v>16</v>
      </c>
      <c r="C900" s="0" t="s">
        <v>2764</v>
      </c>
      <c r="D900" s="0" t="s">
        <v>2765</v>
      </c>
      <c r="E900" s="0" t="s">
        <v>2766</v>
      </c>
      <c r="F900" s="0" t="s">
        <v>2295</v>
      </c>
      <c r="G900" s="0" t="s">
        <v>2767</v>
      </c>
      <c r="H900" s="0" t="s">
        <v>22</v>
      </c>
      <c r="I900" s="0" t="s">
        <v>881</v>
      </c>
    </row>
    <row customHeight="1" ht="11.25">
      <c r="A901" s="1854" t="s">
        <v>2291</v>
      </c>
      <c r="B901" s="1854" t="s">
        <v>16</v>
      </c>
      <c r="C901" s="0" t="s">
        <v>4376</v>
      </c>
      <c r="D901" s="0" t="s">
        <v>4377</v>
      </c>
      <c r="E901" s="0" t="s">
        <v>4378</v>
      </c>
      <c r="F901" s="0" t="s">
        <v>2632</v>
      </c>
      <c r="G901" s="0" t="s">
        <v>22</v>
      </c>
      <c r="H901" s="0" t="s">
        <v>22</v>
      </c>
      <c r="I901" s="0" t="s">
        <v>881</v>
      </c>
    </row>
    <row customHeight="1" ht="11.25">
      <c r="A902" s="1854" t="s">
        <v>2291</v>
      </c>
      <c r="B902" s="1854" t="s">
        <v>16</v>
      </c>
      <c r="C902" s="0" t="s">
        <v>2775</v>
      </c>
      <c r="D902" s="0" t="s">
        <v>2776</v>
      </c>
      <c r="E902" s="0" t="s">
        <v>2777</v>
      </c>
      <c r="F902" s="0" t="s">
        <v>2322</v>
      </c>
      <c r="G902" s="0" t="s">
        <v>22</v>
      </c>
      <c r="H902" s="0" t="s">
        <v>22</v>
      </c>
      <c r="I902" s="0" t="s">
        <v>881</v>
      </c>
    </row>
    <row customHeight="1" ht="11.25">
      <c r="A903" s="1854" t="s">
        <v>2291</v>
      </c>
      <c r="B903" s="1854" t="s">
        <v>16</v>
      </c>
      <c r="C903" s="0" t="s">
        <v>2790</v>
      </c>
      <c r="D903" s="0" t="s">
        <v>2791</v>
      </c>
      <c r="E903" s="0" t="s">
        <v>2792</v>
      </c>
      <c r="F903" s="0" t="s">
        <v>2416</v>
      </c>
      <c r="G903" s="0" t="s">
        <v>22</v>
      </c>
      <c r="H903" s="0" t="s">
        <v>22</v>
      </c>
      <c r="I903" s="0" t="s">
        <v>881</v>
      </c>
    </row>
    <row customHeight="1" ht="11.25">
      <c r="A904" s="1854" t="s">
        <v>2291</v>
      </c>
      <c r="B904" s="1854" t="s">
        <v>16</v>
      </c>
      <c r="C904" s="0" t="s">
        <v>2793</v>
      </c>
      <c r="D904" s="0" t="s">
        <v>2794</v>
      </c>
      <c r="E904" s="0" t="s">
        <v>2795</v>
      </c>
      <c r="F904" s="0" t="s">
        <v>2796</v>
      </c>
      <c r="G904" s="0" t="s">
        <v>2797</v>
      </c>
      <c r="H904" s="0" t="s">
        <v>22</v>
      </c>
      <c r="I904" s="0" t="s">
        <v>881</v>
      </c>
    </row>
    <row customHeight="1" ht="11.25">
      <c r="A905" s="1854" t="s">
        <v>2291</v>
      </c>
      <c r="B905" s="1854" t="s">
        <v>16</v>
      </c>
      <c r="C905" s="0" t="s">
        <v>2807</v>
      </c>
      <c r="D905" s="0" t="s">
        <v>2808</v>
      </c>
      <c r="E905" s="0" t="s">
        <v>2809</v>
      </c>
      <c r="F905" s="0" t="s">
        <v>2359</v>
      </c>
      <c r="G905" s="0" t="s">
        <v>22</v>
      </c>
      <c r="H905" s="0" t="s">
        <v>22</v>
      </c>
      <c r="I905" s="0" t="s">
        <v>881</v>
      </c>
    </row>
    <row customHeight="1" ht="11.25">
      <c r="A906" s="1854" t="s">
        <v>2291</v>
      </c>
      <c r="B906" s="1854" t="s">
        <v>16</v>
      </c>
      <c r="C906" s="0" t="s">
        <v>4379</v>
      </c>
      <c r="D906" s="0" t="s">
        <v>4380</v>
      </c>
      <c r="E906" s="0" t="s">
        <v>4381</v>
      </c>
      <c r="F906" s="0" t="s">
        <v>2389</v>
      </c>
      <c r="G906" s="0" t="s">
        <v>4382</v>
      </c>
      <c r="H906" s="0" t="s">
        <v>22</v>
      </c>
      <c r="I906" s="0" t="s">
        <v>881</v>
      </c>
    </row>
    <row customHeight="1" ht="11.25">
      <c r="A907" s="1854" t="s">
        <v>2291</v>
      </c>
      <c r="B907" s="1854" t="s">
        <v>16</v>
      </c>
      <c r="C907" s="0" t="s">
        <v>2810</v>
      </c>
      <c r="D907" s="0" t="s">
        <v>2811</v>
      </c>
      <c r="E907" s="0" t="s">
        <v>2812</v>
      </c>
      <c r="F907" s="0" t="s">
        <v>2389</v>
      </c>
      <c r="G907" s="0" t="s">
        <v>2813</v>
      </c>
      <c r="H907" s="0" t="s">
        <v>22</v>
      </c>
      <c r="I907" s="0" t="s">
        <v>881</v>
      </c>
    </row>
    <row customHeight="1" ht="11.25">
      <c r="A908" s="1854" t="s">
        <v>2291</v>
      </c>
      <c r="B908" s="1854" t="s">
        <v>16</v>
      </c>
      <c r="C908" s="0" t="s">
        <v>2827</v>
      </c>
      <c r="D908" s="0" t="s">
        <v>2828</v>
      </c>
      <c r="E908" s="0" t="s">
        <v>2829</v>
      </c>
      <c r="F908" s="0" t="s">
        <v>2830</v>
      </c>
      <c r="G908" s="0" t="s">
        <v>22</v>
      </c>
      <c r="H908" s="0" t="s">
        <v>2831</v>
      </c>
      <c r="I908" s="0" t="s">
        <v>881</v>
      </c>
    </row>
    <row customHeight="1" ht="11.25">
      <c r="A909" s="1854" t="s">
        <v>2291</v>
      </c>
      <c r="B909" s="1854" t="s">
        <v>16</v>
      </c>
      <c r="C909" s="0" t="s">
        <v>2844</v>
      </c>
      <c r="D909" s="0" t="s">
        <v>2845</v>
      </c>
      <c r="E909" s="0" t="s">
        <v>2846</v>
      </c>
      <c r="F909" s="0" t="s">
        <v>572</v>
      </c>
      <c r="G909" s="0" t="s">
        <v>22</v>
      </c>
      <c r="H909" s="0" t="s">
        <v>22</v>
      </c>
      <c r="I909" s="0" t="s">
        <v>881</v>
      </c>
    </row>
    <row customHeight="1" ht="11.25">
      <c r="A910" s="1854" t="s">
        <v>2291</v>
      </c>
      <c r="B910" s="1854" t="s">
        <v>16</v>
      </c>
      <c r="C910" s="0" t="s">
        <v>4383</v>
      </c>
      <c r="D910" s="0" t="s">
        <v>4384</v>
      </c>
      <c r="E910" s="0" t="s">
        <v>4385</v>
      </c>
      <c r="F910" s="0" t="s">
        <v>572</v>
      </c>
      <c r="G910" s="0" t="s">
        <v>22</v>
      </c>
      <c r="H910" s="0" t="s">
        <v>22</v>
      </c>
      <c r="I910" s="0" t="s">
        <v>881</v>
      </c>
    </row>
    <row customHeight="1" ht="11.25">
      <c r="A911" s="1854" t="s">
        <v>2291</v>
      </c>
      <c r="B911" s="1854" t="s">
        <v>16</v>
      </c>
      <c r="C911" s="0" t="s">
        <v>4386</v>
      </c>
      <c r="D911" s="0" t="s">
        <v>4387</v>
      </c>
      <c r="E911" s="0" t="s">
        <v>4388</v>
      </c>
      <c r="F911" s="0" t="s">
        <v>572</v>
      </c>
      <c r="G911" s="0" t="s">
        <v>4389</v>
      </c>
      <c r="H911" s="0" t="s">
        <v>22</v>
      </c>
      <c r="I911" s="0" t="s">
        <v>881</v>
      </c>
    </row>
    <row customHeight="1" ht="11.25">
      <c r="A912" s="1854" t="s">
        <v>2291</v>
      </c>
      <c r="B912" s="1854" t="s">
        <v>16</v>
      </c>
      <c r="C912" s="0" t="s">
        <v>2869</v>
      </c>
      <c r="D912" s="0" t="s">
        <v>2870</v>
      </c>
      <c r="E912" s="0" t="s">
        <v>2871</v>
      </c>
      <c r="F912" s="0" t="s">
        <v>572</v>
      </c>
      <c r="G912" s="0" t="s">
        <v>2872</v>
      </c>
      <c r="H912" s="0" t="s">
        <v>22</v>
      </c>
      <c r="I912" s="0" t="s">
        <v>881</v>
      </c>
    </row>
    <row customHeight="1" ht="11.25">
      <c r="A913" s="1854" t="s">
        <v>2291</v>
      </c>
      <c r="B913" s="1854" t="s">
        <v>16</v>
      </c>
      <c r="C913" s="0" t="s">
        <v>2890</v>
      </c>
      <c r="D913" s="0" t="s">
        <v>2891</v>
      </c>
      <c r="E913" s="0" t="s">
        <v>2892</v>
      </c>
      <c r="F913" s="0" t="s">
        <v>2467</v>
      </c>
      <c r="G913" s="0" t="s">
        <v>22</v>
      </c>
      <c r="H913" s="0" t="s">
        <v>22</v>
      </c>
      <c r="I913" s="0" t="s">
        <v>881</v>
      </c>
    </row>
    <row customHeight="1" ht="11.25">
      <c r="A914" s="1854" t="s">
        <v>2291</v>
      </c>
      <c r="B914" s="1854" t="s">
        <v>16</v>
      </c>
      <c r="C914" s="0" t="s">
        <v>2893</v>
      </c>
      <c r="D914" s="0" t="s">
        <v>2894</v>
      </c>
      <c r="E914" s="0" t="s">
        <v>2895</v>
      </c>
      <c r="F914" s="0" t="s">
        <v>2322</v>
      </c>
      <c r="G914" s="0" t="s">
        <v>22</v>
      </c>
      <c r="H914" s="0" t="s">
        <v>22</v>
      </c>
      <c r="I914" s="0" t="s">
        <v>881</v>
      </c>
    </row>
    <row customHeight="1" ht="11.25">
      <c r="A915" s="1854" t="s">
        <v>2291</v>
      </c>
      <c r="B915" s="1854" t="s">
        <v>16</v>
      </c>
      <c r="C915" s="0" t="s">
        <v>4390</v>
      </c>
      <c r="D915" s="0" t="s">
        <v>4391</v>
      </c>
      <c r="E915" s="0" t="s">
        <v>4392</v>
      </c>
      <c r="F915" s="0" t="s">
        <v>2322</v>
      </c>
      <c r="G915" s="0" t="s">
        <v>22</v>
      </c>
      <c r="H915" s="0" t="s">
        <v>22</v>
      </c>
      <c r="I915" s="0" t="s">
        <v>881</v>
      </c>
    </row>
    <row customHeight="1" ht="11.25">
      <c r="A916" s="1854" t="s">
        <v>2291</v>
      </c>
      <c r="B916" s="1854" t="s">
        <v>16</v>
      </c>
      <c r="C916" s="0" t="s">
        <v>4393</v>
      </c>
      <c r="D916" s="0" t="s">
        <v>4394</v>
      </c>
      <c r="E916" s="0" t="s">
        <v>4395</v>
      </c>
      <c r="F916" s="0" t="s">
        <v>51</v>
      </c>
      <c r="G916" s="0" t="s">
        <v>22</v>
      </c>
      <c r="H916" s="0" t="s">
        <v>22</v>
      </c>
      <c r="I916" s="0" t="s">
        <v>881</v>
      </c>
    </row>
    <row customHeight="1" ht="11.25">
      <c r="A917" s="1854" t="s">
        <v>2291</v>
      </c>
      <c r="B917" s="1854" t="s">
        <v>16</v>
      </c>
      <c r="C917" s="0" t="s">
        <v>2899</v>
      </c>
      <c r="D917" s="0" t="s">
        <v>2900</v>
      </c>
      <c r="E917" s="0" t="s">
        <v>2901</v>
      </c>
      <c r="F917" s="0" t="s">
        <v>2640</v>
      </c>
      <c r="G917" s="0" t="s">
        <v>22</v>
      </c>
      <c r="H917" s="0" t="s">
        <v>22</v>
      </c>
      <c r="I917" s="0" t="s">
        <v>881</v>
      </c>
    </row>
    <row customHeight="1" ht="11.25">
      <c r="A918" s="1854" t="s">
        <v>2291</v>
      </c>
      <c r="B918" s="1854" t="s">
        <v>16</v>
      </c>
      <c r="C918" s="0" t="s">
        <v>4396</v>
      </c>
      <c r="D918" s="0" t="s">
        <v>4397</v>
      </c>
      <c r="E918" s="0" t="s">
        <v>4398</v>
      </c>
      <c r="F918" s="0" t="s">
        <v>2640</v>
      </c>
      <c r="G918" s="0" t="s">
        <v>22</v>
      </c>
      <c r="H918" s="0" t="s">
        <v>22</v>
      </c>
      <c r="I918" s="0" t="s">
        <v>881</v>
      </c>
    </row>
    <row customHeight="1" ht="11.25">
      <c r="A919" s="1854" t="s">
        <v>2291</v>
      </c>
      <c r="B919" s="1854" t="s">
        <v>16</v>
      </c>
      <c r="C919" s="0" t="s">
        <v>2902</v>
      </c>
      <c r="D919" s="0" t="s">
        <v>2903</v>
      </c>
      <c r="E919" s="0" t="s">
        <v>2904</v>
      </c>
      <c r="F919" s="0" t="s">
        <v>2420</v>
      </c>
      <c r="G919" s="0" t="s">
        <v>2905</v>
      </c>
      <c r="H919" s="0" t="s">
        <v>22</v>
      </c>
      <c r="I919" s="0" t="s">
        <v>881</v>
      </c>
    </row>
    <row customHeight="1" ht="11.25">
      <c r="A920" s="1854" t="s">
        <v>2291</v>
      </c>
      <c r="B920" s="1854" t="s">
        <v>16</v>
      </c>
      <c r="C920" s="0" t="s">
        <v>2906</v>
      </c>
      <c r="D920" s="0" t="s">
        <v>2907</v>
      </c>
      <c r="E920" s="0" t="s">
        <v>2908</v>
      </c>
      <c r="F920" s="0" t="s">
        <v>2313</v>
      </c>
      <c r="G920" s="0" t="s">
        <v>22</v>
      </c>
      <c r="H920" s="0" t="s">
        <v>2909</v>
      </c>
      <c r="I920" s="0" t="s">
        <v>881</v>
      </c>
    </row>
    <row customHeight="1" ht="11.25">
      <c r="A921" s="1854" t="s">
        <v>2291</v>
      </c>
      <c r="B921" s="1854" t="s">
        <v>16</v>
      </c>
      <c r="C921" s="0" t="s">
        <v>4399</v>
      </c>
      <c r="D921" s="0" t="s">
        <v>4400</v>
      </c>
      <c r="E921" s="0" t="s">
        <v>4401</v>
      </c>
      <c r="F921" s="0" t="s">
        <v>2377</v>
      </c>
      <c r="G921" s="0" t="s">
        <v>22</v>
      </c>
      <c r="H921" s="0" t="s">
        <v>4402</v>
      </c>
      <c r="I921" s="0" t="s">
        <v>881</v>
      </c>
    </row>
    <row customHeight="1" ht="11.25">
      <c r="A922" s="1854" t="s">
        <v>2291</v>
      </c>
      <c r="B922" s="1854" t="s">
        <v>16</v>
      </c>
      <c r="C922" s="0" t="s">
        <v>4403</v>
      </c>
      <c r="D922" s="0" t="s">
        <v>4404</v>
      </c>
      <c r="E922" s="0" t="s">
        <v>4405</v>
      </c>
      <c r="F922" s="0" t="s">
        <v>2322</v>
      </c>
      <c r="G922" s="0" t="s">
        <v>22</v>
      </c>
      <c r="H922" s="0" t="s">
        <v>22</v>
      </c>
      <c r="I922" s="0" t="s">
        <v>881</v>
      </c>
    </row>
    <row customHeight="1" ht="11.25">
      <c r="A923" s="1854" t="s">
        <v>2291</v>
      </c>
      <c r="B923" s="1854" t="s">
        <v>16</v>
      </c>
      <c r="C923" s="0" t="s">
        <v>2910</v>
      </c>
      <c r="D923" s="0" t="s">
        <v>2911</v>
      </c>
      <c r="E923" s="0" t="s">
        <v>2912</v>
      </c>
      <c r="F923" s="0" t="s">
        <v>2313</v>
      </c>
      <c r="G923" s="0" t="s">
        <v>22</v>
      </c>
      <c r="H923" s="0" t="s">
        <v>22</v>
      </c>
      <c r="I923" s="0" t="s">
        <v>881</v>
      </c>
    </row>
    <row customHeight="1" ht="11.25">
      <c r="A924" s="1854" t="s">
        <v>2291</v>
      </c>
      <c r="B924" s="1854" t="s">
        <v>16</v>
      </c>
      <c r="C924" s="0" t="s">
        <v>4406</v>
      </c>
      <c r="D924" s="0" t="s">
        <v>4407</v>
      </c>
      <c r="E924" s="0" t="s">
        <v>4408</v>
      </c>
      <c r="F924" s="0" t="s">
        <v>2313</v>
      </c>
      <c r="G924" s="0" t="s">
        <v>4409</v>
      </c>
      <c r="H924" s="0" t="s">
        <v>22</v>
      </c>
      <c r="I924" s="0" t="s">
        <v>881</v>
      </c>
    </row>
    <row customHeight="1" ht="11.25">
      <c r="A925" s="1854" t="s">
        <v>2291</v>
      </c>
      <c r="B925" s="1854" t="s">
        <v>16</v>
      </c>
      <c r="C925" s="0" t="s">
        <v>4410</v>
      </c>
      <c r="D925" s="0" t="s">
        <v>4411</v>
      </c>
      <c r="E925" s="0" t="s">
        <v>4412</v>
      </c>
      <c r="F925" s="0" t="s">
        <v>2425</v>
      </c>
      <c r="G925" s="0" t="s">
        <v>22</v>
      </c>
      <c r="H925" s="0" t="s">
        <v>22</v>
      </c>
      <c r="I925" s="0" t="s">
        <v>881</v>
      </c>
    </row>
    <row customHeight="1" ht="11.25">
      <c r="A926" s="1854" t="s">
        <v>2291</v>
      </c>
      <c r="B926" s="1854" t="s">
        <v>16</v>
      </c>
      <c r="C926" s="0" t="s">
        <v>2913</v>
      </c>
      <c r="D926" s="0" t="s">
        <v>2914</v>
      </c>
      <c r="E926" s="0" t="s">
        <v>2915</v>
      </c>
      <c r="F926" s="0" t="s">
        <v>2420</v>
      </c>
      <c r="G926" s="0" t="s">
        <v>22</v>
      </c>
      <c r="H926" s="0" t="s">
        <v>22</v>
      </c>
      <c r="I926" s="0" t="s">
        <v>881</v>
      </c>
    </row>
    <row customHeight="1" ht="11.25">
      <c r="A927" s="1854" t="s">
        <v>2291</v>
      </c>
      <c r="B927" s="1854" t="s">
        <v>16</v>
      </c>
      <c r="C927" s="0" t="s">
        <v>4413</v>
      </c>
      <c r="D927" s="0" t="s">
        <v>4414</v>
      </c>
      <c r="E927" s="0" t="s">
        <v>4415</v>
      </c>
      <c r="F927" s="0" t="s">
        <v>2377</v>
      </c>
      <c r="G927" s="0" t="s">
        <v>22</v>
      </c>
      <c r="H927" s="0" t="s">
        <v>22</v>
      </c>
      <c r="I927" s="0" t="s">
        <v>881</v>
      </c>
    </row>
    <row customHeight="1" ht="11.25">
      <c r="A928" s="1854" t="s">
        <v>2291</v>
      </c>
      <c r="B928" s="1854" t="s">
        <v>16</v>
      </c>
      <c r="C928" s="0" t="s">
        <v>4416</v>
      </c>
      <c r="D928" s="0" t="s">
        <v>4417</v>
      </c>
      <c r="E928" s="0" t="s">
        <v>4418</v>
      </c>
      <c r="F928" s="0" t="s">
        <v>2467</v>
      </c>
      <c r="G928" s="0" t="s">
        <v>22</v>
      </c>
      <c r="H928" s="0" t="s">
        <v>22</v>
      </c>
      <c r="I928" s="0" t="s">
        <v>881</v>
      </c>
    </row>
    <row customHeight="1" ht="11.25">
      <c r="A929" s="1854" t="s">
        <v>2291</v>
      </c>
      <c r="B929" s="1854" t="s">
        <v>16</v>
      </c>
      <c r="C929" s="0" t="s">
        <v>4419</v>
      </c>
      <c r="D929" s="0" t="s">
        <v>4420</v>
      </c>
      <c r="E929" s="0" t="s">
        <v>4421</v>
      </c>
      <c r="F929" s="0" t="s">
        <v>2640</v>
      </c>
      <c r="G929" s="0" t="s">
        <v>4422</v>
      </c>
      <c r="H929" s="0" t="s">
        <v>22</v>
      </c>
      <c r="I929" s="0" t="s">
        <v>881</v>
      </c>
    </row>
    <row customHeight="1" ht="11.25">
      <c r="A930" s="1854" t="s">
        <v>2291</v>
      </c>
      <c r="B930" s="1854" t="s">
        <v>16</v>
      </c>
      <c r="C930" s="0" t="s">
        <v>4423</v>
      </c>
      <c r="D930" s="0" t="s">
        <v>4424</v>
      </c>
      <c r="E930" s="0" t="s">
        <v>4425</v>
      </c>
      <c r="F930" s="0" t="s">
        <v>2632</v>
      </c>
      <c r="G930" s="0" t="s">
        <v>22</v>
      </c>
      <c r="H930" s="0" t="s">
        <v>22</v>
      </c>
      <c r="I930" s="0" t="s">
        <v>881</v>
      </c>
    </row>
    <row customHeight="1" ht="11.25">
      <c r="A931" s="1854" t="s">
        <v>2291</v>
      </c>
      <c r="B931" s="1854" t="s">
        <v>16</v>
      </c>
      <c r="C931" s="0" t="s">
        <v>4426</v>
      </c>
      <c r="D931" s="0" t="s">
        <v>4427</v>
      </c>
      <c r="E931" s="0" t="s">
        <v>4428</v>
      </c>
      <c r="F931" s="0" t="s">
        <v>2420</v>
      </c>
      <c r="G931" s="0" t="s">
        <v>22</v>
      </c>
      <c r="H931" s="0" t="s">
        <v>22</v>
      </c>
      <c r="I931" s="0" t="s">
        <v>881</v>
      </c>
    </row>
    <row customHeight="1" ht="11.25">
      <c r="A932" s="1854" t="s">
        <v>2291</v>
      </c>
      <c r="B932" s="1854" t="s">
        <v>16</v>
      </c>
      <c r="C932" s="0" t="s">
        <v>2919</v>
      </c>
      <c r="D932" s="0" t="s">
        <v>2920</v>
      </c>
      <c r="E932" s="0" t="s">
        <v>2921</v>
      </c>
      <c r="F932" s="0" t="s">
        <v>2351</v>
      </c>
      <c r="G932" s="0" t="s">
        <v>22</v>
      </c>
      <c r="H932" s="0" t="s">
        <v>22</v>
      </c>
      <c r="I932" s="0" t="s">
        <v>881</v>
      </c>
    </row>
    <row customHeight="1" ht="11.25">
      <c r="A933" s="1854" t="s">
        <v>2291</v>
      </c>
      <c r="B933" s="1854" t="s">
        <v>16</v>
      </c>
      <c r="C933" s="0" t="s">
        <v>4429</v>
      </c>
      <c r="D933" s="0" t="s">
        <v>4430</v>
      </c>
      <c r="E933" s="0" t="s">
        <v>4431</v>
      </c>
      <c r="F933" s="0" t="s">
        <v>2351</v>
      </c>
      <c r="G933" s="0" t="s">
        <v>22</v>
      </c>
      <c r="H933" s="0" t="s">
        <v>22</v>
      </c>
      <c r="I933" s="0" t="s">
        <v>881</v>
      </c>
    </row>
    <row customHeight="1" ht="11.25">
      <c r="A934" s="1854" t="s">
        <v>2291</v>
      </c>
      <c r="B934" s="1854" t="s">
        <v>16</v>
      </c>
      <c r="C934" s="0" t="s">
        <v>4432</v>
      </c>
      <c r="D934" s="0" t="s">
        <v>4433</v>
      </c>
      <c r="E934" s="0" t="s">
        <v>4434</v>
      </c>
      <c r="F934" s="0" t="s">
        <v>2750</v>
      </c>
      <c r="G934" s="0" t="s">
        <v>22</v>
      </c>
      <c r="H934" s="0" t="s">
        <v>22</v>
      </c>
      <c r="I934" s="0" t="s">
        <v>881</v>
      </c>
    </row>
    <row customHeight="1" ht="11.25">
      <c r="A935" s="1854" t="s">
        <v>2291</v>
      </c>
      <c r="B935" s="1854" t="s">
        <v>16</v>
      </c>
      <c r="C935" s="0" t="s">
        <v>4435</v>
      </c>
      <c r="D935" s="0" t="s">
        <v>4436</v>
      </c>
      <c r="E935" s="0" t="s">
        <v>4437</v>
      </c>
      <c r="F935" s="0" t="s">
        <v>2309</v>
      </c>
      <c r="G935" s="0" t="s">
        <v>22</v>
      </c>
      <c r="H935" s="0" t="s">
        <v>22</v>
      </c>
      <c r="I935" s="0" t="s">
        <v>881</v>
      </c>
    </row>
    <row customHeight="1" ht="11.25">
      <c r="A936" s="1854" t="s">
        <v>2291</v>
      </c>
      <c r="B936" s="1854" t="s">
        <v>16</v>
      </c>
      <c r="C936" s="0" t="s">
        <v>2931</v>
      </c>
      <c r="D936" s="0" t="s">
        <v>2932</v>
      </c>
      <c r="E936" s="0" t="s">
        <v>2933</v>
      </c>
      <c r="F936" s="0" t="s">
        <v>2750</v>
      </c>
      <c r="G936" s="0" t="s">
        <v>22</v>
      </c>
      <c r="H936" s="0" t="s">
        <v>22</v>
      </c>
      <c r="I936" s="0" t="s">
        <v>881</v>
      </c>
    </row>
    <row customHeight="1" ht="11.25">
      <c r="A937" s="1854" t="s">
        <v>2291</v>
      </c>
      <c r="B937" s="1854" t="s">
        <v>16</v>
      </c>
      <c r="C937" s="0" t="s">
        <v>2934</v>
      </c>
      <c r="D937" s="0" t="s">
        <v>2935</v>
      </c>
      <c r="E937" s="0" t="s">
        <v>2936</v>
      </c>
      <c r="F937" s="0" t="s">
        <v>2750</v>
      </c>
      <c r="G937" s="0" t="s">
        <v>22</v>
      </c>
      <c r="H937" s="0" t="s">
        <v>22</v>
      </c>
      <c r="I937" s="0" t="s">
        <v>881</v>
      </c>
    </row>
    <row customHeight="1" ht="11.25">
      <c r="A938" s="1854" t="s">
        <v>2291</v>
      </c>
      <c r="B938" s="1854" t="s">
        <v>16</v>
      </c>
      <c r="C938" s="0" t="s">
        <v>2937</v>
      </c>
      <c r="D938" s="0" t="s">
        <v>2938</v>
      </c>
      <c r="E938" s="0" t="s">
        <v>2939</v>
      </c>
      <c r="F938" s="0" t="s">
        <v>2750</v>
      </c>
      <c r="G938" s="0" t="s">
        <v>22</v>
      </c>
      <c r="H938" s="0" t="s">
        <v>22</v>
      </c>
      <c r="I938" s="0" t="s">
        <v>881</v>
      </c>
    </row>
    <row customHeight="1" ht="11.25">
      <c r="A939" s="1854" t="s">
        <v>2291</v>
      </c>
      <c r="B939" s="1854" t="s">
        <v>16</v>
      </c>
      <c r="C939" s="0" t="s">
        <v>2943</v>
      </c>
      <c r="D939" s="0" t="s">
        <v>2944</v>
      </c>
      <c r="E939" s="0" t="s">
        <v>2945</v>
      </c>
      <c r="F939" s="0" t="s">
        <v>2351</v>
      </c>
      <c r="G939" s="0" t="s">
        <v>22</v>
      </c>
      <c r="H939" s="0" t="s">
        <v>22</v>
      </c>
      <c r="I939" s="0" t="s">
        <v>881</v>
      </c>
    </row>
    <row customHeight="1" ht="11.25">
      <c r="A940" s="1854" t="s">
        <v>2291</v>
      </c>
      <c r="B940" s="1854" t="s">
        <v>16</v>
      </c>
      <c r="C940" s="0" t="s">
        <v>2946</v>
      </c>
      <c r="D940" s="0" t="s">
        <v>2947</v>
      </c>
      <c r="E940" s="0" t="s">
        <v>2948</v>
      </c>
      <c r="F940" s="0" t="s">
        <v>2351</v>
      </c>
      <c r="G940" s="0" t="s">
        <v>22</v>
      </c>
      <c r="H940" s="0" t="s">
        <v>22</v>
      </c>
      <c r="I940" s="0" t="s">
        <v>881</v>
      </c>
    </row>
    <row customHeight="1" ht="11.25">
      <c r="A941" s="1854" t="s">
        <v>2291</v>
      </c>
      <c r="B941" s="1854" t="s">
        <v>16</v>
      </c>
      <c r="C941" s="0" t="s">
        <v>4438</v>
      </c>
      <c r="D941" s="0" t="s">
        <v>4439</v>
      </c>
      <c r="E941" s="0" t="s">
        <v>4440</v>
      </c>
      <c r="F941" s="0" t="s">
        <v>2351</v>
      </c>
      <c r="G941" s="0" t="s">
        <v>22</v>
      </c>
      <c r="H941" s="0" t="s">
        <v>22</v>
      </c>
      <c r="I941" s="0" t="s">
        <v>881</v>
      </c>
    </row>
    <row customHeight="1" ht="11.25">
      <c r="A942" s="1854" t="s">
        <v>2291</v>
      </c>
      <c r="B942" s="1854" t="s">
        <v>16</v>
      </c>
      <c r="C942" s="0" t="s">
        <v>4441</v>
      </c>
      <c r="D942" s="0" t="s">
        <v>4442</v>
      </c>
      <c r="E942" s="0" t="s">
        <v>4443</v>
      </c>
      <c r="F942" s="0" t="s">
        <v>2309</v>
      </c>
      <c r="G942" s="0" t="s">
        <v>22</v>
      </c>
      <c r="H942" s="0" t="s">
        <v>22</v>
      </c>
      <c r="I942" s="0" t="s">
        <v>881</v>
      </c>
    </row>
    <row customHeight="1" ht="11.25">
      <c r="A943" s="1854" t="s">
        <v>2291</v>
      </c>
      <c r="B943" s="1854" t="s">
        <v>16</v>
      </c>
      <c r="C943" s="0" t="s">
        <v>4444</v>
      </c>
      <c r="D943" s="0" t="s">
        <v>4445</v>
      </c>
      <c r="E943" s="0" t="s">
        <v>4446</v>
      </c>
      <c r="F943" s="0" t="s">
        <v>2309</v>
      </c>
      <c r="G943" s="0" t="s">
        <v>22</v>
      </c>
      <c r="H943" s="0" t="s">
        <v>22</v>
      </c>
      <c r="I943" s="0" t="s">
        <v>881</v>
      </c>
    </row>
    <row customHeight="1" ht="11.25">
      <c r="A944" s="1854" t="s">
        <v>2291</v>
      </c>
      <c r="B944" s="1854" t="s">
        <v>16</v>
      </c>
      <c r="C944" s="0" t="s">
        <v>2952</v>
      </c>
      <c r="D944" s="0" t="s">
        <v>2953</v>
      </c>
      <c r="E944" s="0" t="s">
        <v>2954</v>
      </c>
      <c r="F944" s="0" t="s">
        <v>2309</v>
      </c>
      <c r="G944" s="0" t="s">
        <v>22</v>
      </c>
      <c r="H944" s="0" t="s">
        <v>22</v>
      </c>
      <c r="I944" s="0" t="s">
        <v>881</v>
      </c>
    </row>
    <row customHeight="1" ht="11.25">
      <c r="A945" s="1854" t="s">
        <v>2291</v>
      </c>
      <c r="B945" s="1854" t="s">
        <v>16</v>
      </c>
      <c r="C945" s="0" t="s">
        <v>2970</v>
      </c>
      <c r="D945" s="0" t="s">
        <v>2971</v>
      </c>
      <c r="E945" s="0" t="s">
        <v>2972</v>
      </c>
      <c r="F945" s="0" t="s">
        <v>2420</v>
      </c>
      <c r="G945" s="0" t="s">
        <v>22</v>
      </c>
      <c r="H945" s="0" t="s">
        <v>22</v>
      </c>
      <c r="I945" s="0" t="s">
        <v>881</v>
      </c>
    </row>
    <row customHeight="1" ht="11.25">
      <c r="A946" s="1854" t="s">
        <v>2291</v>
      </c>
      <c r="B946" s="1854" t="s">
        <v>16</v>
      </c>
      <c r="C946" s="0" t="s">
        <v>2973</v>
      </c>
      <c r="D946" s="0" t="s">
        <v>2974</v>
      </c>
      <c r="E946" s="0" t="s">
        <v>2975</v>
      </c>
      <c r="F946" s="0" t="s">
        <v>2640</v>
      </c>
      <c r="G946" s="0" t="s">
        <v>22</v>
      </c>
      <c r="H946" s="0" t="s">
        <v>22</v>
      </c>
      <c r="I946" s="0" t="s">
        <v>881</v>
      </c>
    </row>
    <row customHeight="1" ht="11.25">
      <c r="A947" s="1854" t="s">
        <v>2291</v>
      </c>
      <c r="B947" s="1854" t="s">
        <v>16</v>
      </c>
      <c r="C947" s="0" t="s">
        <v>2976</v>
      </c>
      <c r="D947" s="0" t="s">
        <v>2977</v>
      </c>
      <c r="E947" s="0" t="s">
        <v>2978</v>
      </c>
      <c r="F947" s="0" t="s">
        <v>2467</v>
      </c>
      <c r="G947" s="0" t="s">
        <v>2979</v>
      </c>
      <c r="H947" s="0" t="s">
        <v>22</v>
      </c>
      <c r="I947" s="0" t="s">
        <v>881</v>
      </c>
    </row>
    <row customHeight="1" ht="11.25">
      <c r="A948" s="1854" t="s">
        <v>2291</v>
      </c>
      <c r="B948" s="1854" t="s">
        <v>16</v>
      </c>
      <c r="C948" s="0" t="s">
        <v>4447</v>
      </c>
      <c r="D948" s="0" t="s">
        <v>4448</v>
      </c>
      <c r="E948" s="0" t="s">
        <v>4449</v>
      </c>
      <c r="F948" s="0" t="s">
        <v>2640</v>
      </c>
      <c r="G948" s="0" t="s">
        <v>22</v>
      </c>
      <c r="H948" s="0" t="s">
        <v>22</v>
      </c>
      <c r="I948" s="0" t="s">
        <v>881</v>
      </c>
    </row>
    <row customHeight="1" ht="11.25">
      <c r="A949" s="1854" t="s">
        <v>2291</v>
      </c>
      <c r="B949" s="1854" t="s">
        <v>16</v>
      </c>
      <c r="C949" s="0" t="s">
        <v>4450</v>
      </c>
      <c r="D949" s="0" t="s">
        <v>4451</v>
      </c>
      <c r="E949" s="0" t="s">
        <v>4452</v>
      </c>
      <c r="F949" s="0" t="s">
        <v>2416</v>
      </c>
      <c r="G949" s="0" t="s">
        <v>22</v>
      </c>
      <c r="H949" s="0" t="s">
        <v>22</v>
      </c>
      <c r="I949" s="0" t="s">
        <v>881</v>
      </c>
    </row>
    <row customHeight="1" ht="11.25">
      <c r="A950" s="1854" t="s">
        <v>2291</v>
      </c>
      <c r="B950" s="1854" t="s">
        <v>16</v>
      </c>
      <c r="C950" s="0" t="s">
        <v>2983</v>
      </c>
      <c r="D950" s="0" t="s">
        <v>2984</v>
      </c>
      <c r="E950" s="0" t="s">
        <v>2985</v>
      </c>
      <c r="F950" s="0" t="s">
        <v>2632</v>
      </c>
      <c r="G950" s="0" t="s">
        <v>22</v>
      </c>
      <c r="H950" s="0" t="s">
        <v>22</v>
      </c>
      <c r="I950" s="0" t="s">
        <v>881</v>
      </c>
    </row>
    <row customHeight="1" ht="11.25">
      <c r="A951" s="1854" t="s">
        <v>2291</v>
      </c>
      <c r="B951" s="1854" t="s">
        <v>16</v>
      </c>
      <c r="C951" s="0" t="s">
        <v>2986</v>
      </c>
      <c r="D951" s="0" t="s">
        <v>2987</v>
      </c>
      <c r="E951" s="0" t="s">
        <v>2988</v>
      </c>
      <c r="F951" s="0" t="s">
        <v>2416</v>
      </c>
      <c r="G951" s="0" t="s">
        <v>22</v>
      </c>
      <c r="H951" s="0" t="s">
        <v>22</v>
      </c>
      <c r="I951" s="0" t="s">
        <v>881</v>
      </c>
    </row>
    <row customHeight="1" ht="11.25">
      <c r="A952" s="1854" t="s">
        <v>2291</v>
      </c>
      <c r="B952" s="1854" t="s">
        <v>16</v>
      </c>
      <c r="C952" s="0" t="s">
        <v>4453</v>
      </c>
      <c r="D952" s="0" t="s">
        <v>4454</v>
      </c>
      <c r="E952" s="0" t="s">
        <v>4455</v>
      </c>
      <c r="F952" s="0" t="s">
        <v>2425</v>
      </c>
      <c r="G952" s="0" t="s">
        <v>22</v>
      </c>
      <c r="H952" s="0" t="s">
        <v>22</v>
      </c>
      <c r="I952" s="0" t="s">
        <v>881</v>
      </c>
    </row>
    <row customHeight="1" ht="11.25">
      <c r="A953" s="1854" t="s">
        <v>2291</v>
      </c>
      <c r="B953" s="1854" t="s">
        <v>16</v>
      </c>
      <c r="C953" s="0" t="s">
        <v>2989</v>
      </c>
      <c r="D953" s="0" t="s">
        <v>2990</v>
      </c>
      <c r="E953" s="0" t="s">
        <v>2991</v>
      </c>
      <c r="F953" s="0" t="s">
        <v>2351</v>
      </c>
      <c r="G953" s="0" t="s">
        <v>22</v>
      </c>
      <c r="H953" s="0" t="s">
        <v>22</v>
      </c>
      <c r="I953" s="0" t="s">
        <v>881</v>
      </c>
    </row>
    <row customHeight="1" ht="11.25">
      <c r="A954" s="1854" t="s">
        <v>2291</v>
      </c>
      <c r="B954" s="1854" t="s">
        <v>16</v>
      </c>
      <c r="C954" s="0" t="s">
        <v>4456</v>
      </c>
      <c r="D954" s="0" t="s">
        <v>4457</v>
      </c>
      <c r="E954" s="0" t="s">
        <v>4458</v>
      </c>
      <c r="F954" s="0" t="s">
        <v>51</v>
      </c>
      <c r="G954" s="0" t="s">
        <v>22</v>
      </c>
      <c r="H954" s="0" t="s">
        <v>22</v>
      </c>
      <c r="I954" s="0" t="s">
        <v>881</v>
      </c>
    </row>
    <row customHeight="1" ht="11.25">
      <c r="A955" s="1854" t="s">
        <v>2291</v>
      </c>
      <c r="B955" s="1854" t="s">
        <v>16</v>
      </c>
      <c r="C955" s="0" t="s">
        <v>4459</v>
      </c>
      <c r="D955" s="0" t="s">
        <v>4460</v>
      </c>
      <c r="E955" s="0" t="s">
        <v>4461</v>
      </c>
      <c r="F955" s="0" t="s">
        <v>2420</v>
      </c>
      <c r="G955" s="0" t="s">
        <v>22</v>
      </c>
      <c r="H955" s="0" t="s">
        <v>22</v>
      </c>
      <c r="I955" s="0" t="s">
        <v>881</v>
      </c>
    </row>
    <row customHeight="1" ht="11.25">
      <c r="A956" s="1854" t="s">
        <v>2291</v>
      </c>
      <c r="B956" s="1854" t="s">
        <v>16</v>
      </c>
      <c r="C956" s="0" t="s">
        <v>4462</v>
      </c>
      <c r="D956" s="0" t="s">
        <v>4463</v>
      </c>
      <c r="E956" s="0" t="s">
        <v>4464</v>
      </c>
      <c r="F956" s="0" t="s">
        <v>2322</v>
      </c>
      <c r="G956" s="0" t="s">
        <v>22</v>
      </c>
      <c r="H956" s="0" t="s">
        <v>22</v>
      </c>
      <c r="I956" s="0" t="s">
        <v>881</v>
      </c>
    </row>
    <row customHeight="1" ht="11.25">
      <c r="A957" s="1854" t="s">
        <v>2291</v>
      </c>
      <c r="B957" s="1854" t="s">
        <v>16</v>
      </c>
      <c r="C957" s="0" t="s">
        <v>2992</v>
      </c>
      <c r="D957" s="0" t="s">
        <v>2993</v>
      </c>
      <c r="E957" s="0" t="s">
        <v>2994</v>
      </c>
      <c r="F957" s="0" t="s">
        <v>2322</v>
      </c>
      <c r="G957" s="0" t="s">
        <v>22</v>
      </c>
      <c r="H957" s="0" t="s">
        <v>22</v>
      </c>
      <c r="I957" s="0" t="s">
        <v>881</v>
      </c>
    </row>
    <row customHeight="1" ht="11.25">
      <c r="A958" s="1854" t="s">
        <v>2291</v>
      </c>
      <c r="B958" s="1854" t="s">
        <v>16</v>
      </c>
      <c r="C958" s="0" t="s">
        <v>2995</v>
      </c>
      <c r="D958" s="0" t="s">
        <v>2996</v>
      </c>
      <c r="E958" s="0" t="s">
        <v>2997</v>
      </c>
      <c r="F958" s="0" t="s">
        <v>2632</v>
      </c>
      <c r="G958" s="0" t="s">
        <v>22</v>
      </c>
      <c r="H958" s="0" t="s">
        <v>22</v>
      </c>
      <c r="I958" s="0" t="s">
        <v>881</v>
      </c>
    </row>
    <row customHeight="1" ht="11.25">
      <c r="A959" s="1854" t="s">
        <v>2291</v>
      </c>
      <c r="B959" s="1854" t="s">
        <v>16</v>
      </c>
      <c r="C959" s="0" t="s">
        <v>2998</v>
      </c>
      <c r="D959" s="0" t="s">
        <v>2999</v>
      </c>
      <c r="E959" s="0" t="s">
        <v>3000</v>
      </c>
      <c r="F959" s="0" t="s">
        <v>2377</v>
      </c>
      <c r="G959" s="0" t="s">
        <v>22</v>
      </c>
      <c r="H959" s="0" t="s">
        <v>22</v>
      </c>
      <c r="I959" s="0" t="s">
        <v>881</v>
      </c>
    </row>
    <row customHeight="1" ht="11.25">
      <c r="A960" s="1854" t="s">
        <v>2291</v>
      </c>
      <c r="B960" s="1854" t="s">
        <v>16</v>
      </c>
      <c r="C960" s="0" t="s">
        <v>4465</v>
      </c>
      <c r="D960" s="0" t="s">
        <v>4466</v>
      </c>
      <c r="E960" s="0" t="s">
        <v>4467</v>
      </c>
      <c r="F960" s="0" t="s">
        <v>2377</v>
      </c>
      <c r="G960" s="0" t="s">
        <v>22</v>
      </c>
      <c r="H960" s="0" t="s">
        <v>22</v>
      </c>
      <c r="I960" s="0" t="s">
        <v>881</v>
      </c>
    </row>
    <row customHeight="1" ht="11.25">
      <c r="A961" s="1854" t="s">
        <v>2291</v>
      </c>
      <c r="B961" s="1854" t="s">
        <v>16</v>
      </c>
      <c r="C961" s="0" t="s">
        <v>4468</v>
      </c>
      <c r="D961" s="0" t="s">
        <v>4469</v>
      </c>
      <c r="E961" s="0" t="s">
        <v>4470</v>
      </c>
      <c r="F961" s="0" t="s">
        <v>2750</v>
      </c>
      <c r="G961" s="0" t="s">
        <v>22</v>
      </c>
      <c r="H961" s="0" t="s">
        <v>22</v>
      </c>
      <c r="I961" s="0" t="s">
        <v>881</v>
      </c>
    </row>
    <row customHeight="1" ht="11.25">
      <c r="A962" s="1854" t="s">
        <v>2291</v>
      </c>
      <c r="B962" s="1854" t="s">
        <v>16</v>
      </c>
      <c r="C962" s="0" t="s">
        <v>3004</v>
      </c>
      <c r="D962" s="0" t="s">
        <v>3005</v>
      </c>
      <c r="E962" s="0" t="s">
        <v>3006</v>
      </c>
      <c r="F962" s="0" t="s">
        <v>2322</v>
      </c>
      <c r="G962" s="0" t="s">
        <v>22</v>
      </c>
      <c r="H962" s="0" t="s">
        <v>22</v>
      </c>
      <c r="I962" s="0" t="s">
        <v>881</v>
      </c>
    </row>
    <row customHeight="1" ht="11.25">
      <c r="A963" s="1854" t="s">
        <v>2291</v>
      </c>
      <c r="B963" s="1854" t="s">
        <v>16</v>
      </c>
      <c r="C963" s="0" t="s">
        <v>3007</v>
      </c>
      <c r="D963" s="0" t="s">
        <v>3008</v>
      </c>
      <c r="E963" s="0" t="s">
        <v>3009</v>
      </c>
      <c r="F963" s="0" t="s">
        <v>2313</v>
      </c>
      <c r="G963" s="0" t="s">
        <v>22</v>
      </c>
      <c r="H963" s="0" t="s">
        <v>22</v>
      </c>
      <c r="I963" s="0" t="s">
        <v>881</v>
      </c>
    </row>
    <row customHeight="1" ht="11.25">
      <c r="A964" s="1854" t="s">
        <v>2291</v>
      </c>
      <c r="B964" s="1854" t="s">
        <v>16</v>
      </c>
      <c r="C964" s="0" t="s">
        <v>4471</v>
      </c>
      <c r="D964" s="0" t="s">
        <v>4472</v>
      </c>
      <c r="E964" s="0" t="s">
        <v>4473</v>
      </c>
      <c r="F964" s="0" t="s">
        <v>2313</v>
      </c>
      <c r="G964" s="0" t="s">
        <v>22</v>
      </c>
      <c r="H964" s="0" t="s">
        <v>22</v>
      </c>
      <c r="I964" s="0" t="s">
        <v>881</v>
      </c>
    </row>
    <row customHeight="1" ht="11.25">
      <c r="A965" s="1854" t="s">
        <v>2291</v>
      </c>
      <c r="B965" s="1854" t="s">
        <v>16</v>
      </c>
      <c r="C965" s="0" t="s">
        <v>4474</v>
      </c>
      <c r="D965" s="0" t="s">
        <v>4475</v>
      </c>
      <c r="E965" s="0" t="s">
        <v>4476</v>
      </c>
      <c r="F965" s="0" t="s">
        <v>2351</v>
      </c>
      <c r="G965" s="0" t="s">
        <v>22</v>
      </c>
      <c r="H965" s="0" t="s">
        <v>22</v>
      </c>
      <c r="I965" s="0" t="s">
        <v>881</v>
      </c>
    </row>
    <row customHeight="1" ht="11.25">
      <c r="A966" s="1854" t="s">
        <v>2291</v>
      </c>
      <c r="B966" s="1854" t="s">
        <v>16</v>
      </c>
      <c r="C966" s="0" t="s">
        <v>3022</v>
      </c>
      <c r="D966" s="0" t="s">
        <v>3023</v>
      </c>
      <c r="E966" s="0" t="s">
        <v>3024</v>
      </c>
      <c r="F966" s="0" t="s">
        <v>2750</v>
      </c>
      <c r="G966" s="0" t="s">
        <v>3025</v>
      </c>
      <c r="H966" s="0" t="s">
        <v>22</v>
      </c>
      <c r="I966" s="0" t="s">
        <v>881</v>
      </c>
    </row>
    <row customHeight="1" ht="11.25">
      <c r="A967" s="1854" t="s">
        <v>2291</v>
      </c>
      <c r="B967" s="1854" t="s">
        <v>16</v>
      </c>
      <c r="C967" s="0" t="s">
        <v>3026</v>
      </c>
      <c r="D967" s="0" t="s">
        <v>3027</v>
      </c>
      <c r="E967" s="0" t="s">
        <v>3028</v>
      </c>
      <c r="F967" s="0" t="s">
        <v>2750</v>
      </c>
      <c r="G967" s="0" t="s">
        <v>3029</v>
      </c>
      <c r="H967" s="0" t="s">
        <v>22</v>
      </c>
      <c r="I967" s="0" t="s">
        <v>881</v>
      </c>
    </row>
    <row customHeight="1" ht="11.25">
      <c r="A968" s="1854" t="s">
        <v>2291</v>
      </c>
      <c r="B968" s="1854" t="s">
        <v>16</v>
      </c>
      <c r="C968" s="0" t="s">
        <v>3030</v>
      </c>
      <c r="D968" s="0" t="s">
        <v>3031</v>
      </c>
      <c r="E968" s="0" t="s">
        <v>3032</v>
      </c>
      <c r="F968" s="0" t="s">
        <v>2750</v>
      </c>
      <c r="G968" s="0" t="s">
        <v>3033</v>
      </c>
      <c r="H968" s="0" t="s">
        <v>22</v>
      </c>
      <c r="I968" s="0" t="s">
        <v>881</v>
      </c>
    </row>
    <row customHeight="1" ht="11.25">
      <c r="A969" s="1854" t="s">
        <v>2291</v>
      </c>
      <c r="B969" s="1854" t="s">
        <v>16</v>
      </c>
      <c r="C969" s="0" t="s">
        <v>3034</v>
      </c>
      <c r="D969" s="0" t="s">
        <v>3035</v>
      </c>
      <c r="E969" s="0" t="s">
        <v>3036</v>
      </c>
      <c r="F969" s="0" t="s">
        <v>2750</v>
      </c>
      <c r="G969" s="0" t="s">
        <v>3037</v>
      </c>
      <c r="H969" s="0" t="s">
        <v>22</v>
      </c>
      <c r="I969" s="0" t="s">
        <v>881</v>
      </c>
    </row>
    <row customHeight="1" ht="11.25">
      <c r="A970" s="1854" t="s">
        <v>2291</v>
      </c>
      <c r="B970" s="1854" t="s">
        <v>16</v>
      </c>
      <c r="C970" s="0" t="s">
        <v>3038</v>
      </c>
      <c r="D970" s="0" t="s">
        <v>3039</v>
      </c>
      <c r="E970" s="0" t="s">
        <v>3040</v>
      </c>
      <c r="F970" s="0" t="s">
        <v>2750</v>
      </c>
      <c r="G970" s="0" t="s">
        <v>22</v>
      </c>
      <c r="H970" s="0" t="s">
        <v>22</v>
      </c>
      <c r="I970" s="0" t="s">
        <v>881</v>
      </c>
    </row>
    <row customHeight="1" ht="11.25">
      <c r="A971" s="1854" t="s">
        <v>2291</v>
      </c>
      <c r="B971" s="1854" t="s">
        <v>16</v>
      </c>
      <c r="C971" s="0" t="s">
        <v>4477</v>
      </c>
      <c r="D971" s="0" t="s">
        <v>4478</v>
      </c>
      <c r="E971" s="0" t="s">
        <v>4479</v>
      </c>
      <c r="F971" s="0" t="s">
        <v>2467</v>
      </c>
      <c r="G971" s="0" t="s">
        <v>22</v>
      </c>
      <c r="H971" s="0" t="s">
        <v>22</v>
      </c>
      <c r="I971" s="0" t="s">
        <v>881</v>
      </c>
    </row>
    <row customHeight="1" ht="11.25">
      <c r="A972" s="1854" t="s">
        <v>2291</v>
      </c>
      <c r="B972" s="1854" t="s">
        <v>16</v>
      </c>
      <c r="C972" s="0" t="s">
        <v>3053</v>
      </c>
      <c r="D972" s="0" t="s">
        <v>3054</v>
      </c>
      <c r="E972" s="0" t="s">
        <v>3055</v>
      </c>
      <c r="F972" s="0" t="s">
        <v>2420</v>
      </c>
      <c r="G972" s="0" t="s">
        <v>22</v>
      </c>
      <c r="H972" s="0" t="s">
        <v>22</v>
      </c>
      <c r="I972" s="0" t="s">
        <v>881</v>
      </c>
    </row>
    <row customHeight="1" ht="11.25">
      <c r="A973" s="1854" t="s">
        <v>2291</v>
      </c>
      <c r="B973" s="1854" t="s">
        <v>16</v>
      </c>
      <c r="C973" s="0" t="s">
        <v>4480</v>
      </c>
      <c r="D973" s="0" t="s">
        <v>4481</v>
      </c>
      <c r="E973" s="0" t="s">
        <v>4482</v>
      </c>
      <c r="F973" s="0" t="s">
        <v>2750</v>
      </c>
      <c r="G973" s="0" t="s">
        <v>22</v>
      </c>
      <c r="H973" s="0" t="s">
        <v>22</v>
      </c>
      <c r="I973" s="0" t="s">
        <v>881</v>
      </c>
    </row>
    <row customHeight="1" ht="11.25">
      <c r="A974" s="1854" t="s">
        <v>2291</v>
      </c>
      <c r="B974" s="1854" t="s">
        <v>16</v>
      </c>
      <c r="C974" s="0" t="s">
        <v>3056</v>
      </c>
      <c r="D974" s="0" t="s">
        <v>3057</v>
      </c>
      <c r="E974" s="0" t="s">
        <v>3058</v>
      </c>
      <c r="F974" s="0" t="s">
        <v>2295</v>
      </c>
      <c r="G974" s="0" t="s">
        <v>3059</v>
      </c>
      <c r="H974" s="0" t="s">
        <v>22</v>
      </c>
      <c r="I974" s="0" t="s">
        <v>881</v>
      </c>
    </row>
    <row customHeight="1" ht="11.25">
      <c r="A975" s="1854" t="s">
        <v>2291</v>
      </c>
      <c r="B975" s="1854" t="s">
        <v>16</v>
      </c>
      <c r="C975" s="0" t="s">
        <v>4483</v>
      </c>
      <c r="D975" s="0" t="s">
        <v>4484</v>
      </c>
      <c r="E975" s="0" t="s">
        <v>4485</v>
      </c>
      <c r="F975" s="0" t="s">
        <v>2640</v>
      </c>
      <c r="G975" s="0" t="s">
        <v>22</v>
      </c>
      <c r="H975" s="0" t="s">
        <v>4486</v>
      </c>
      <c r="I975" s="0" t="s">
        <v>881</v>
      </c>
    </row>
    <row customHeight="1" ht="11.25">
      <c r="A976" s="1854" t="s">
        <v>2291</v>
      </c>
      <c r="B976" s="1854" t="s">
        <v>16</v>
      </c>
      <c r="C976" s="0" t="s">
        <v>4487</v>
      </c>
      <c r="D976" s="0" t="s">
        <v>4488</v>
      </c>
      <c r="E976" s="0" t="s">
        <v>4489</v>
      </c>
      <c r="F976" s="0" t="s">
        <v>2425</v>
      </c>
      <c r="G976" s="0" t="s">
        <v>4490</v>
      </c>
      <c r="H976" s="0" t="s">
        <v>22</v>
      </c>
      <c r="I976" s="0" t="s">
        <v>881</v>
      </c>
    </row>
    <row customHeight="1" ht="11.25">
      <c r="A977" s="1854" t="s">
        <v>2291</v>
      </c>
      <c r="B977" s="1854" t="s">
        <v>16</v>
      </c>
      <c r="C977" s="0" t="s">
        <v>4491</v>
      </c>
      <c r="D977" s="0" t="s">
        <v>4492</v>
      </c>
      <c r="E977" s="0" t="s">
        <v>4493</v>
      </c>
      <c r="F977" s="0" t="s">
        <v>2416</v>
      </c>
      <c r="G977" s="0" t="s">
        <v>4494</v>
      </c>
      <c r="H977" s="0" t="s">
        <v>22</v>
      </c>
      <c r="I977" s="0" t="s">
        <v>881</v>
      </c>
    </row>
    <row customHeight="1" ht="11.25">
      <c r="A978" s="1854" t="s">
        <v>2291</v>
      </c>
      <c r="B978" s="1854" t="s">
        <v>16</v>
      </c>
      <c r="C978" s="0" t="s">
        <v>3060</v>
      </c>
      <c r="D978" s="0" t="s">
        <v>3061</v>
      </c>
      <c r="E978" s="0" t="s">
        <v>3062</v>
      </c>
      <c r="F978" s="0" t="s">
        <v>2309</v>
      </c>
      <c r="G978" s="0" t="s">
        <v>3063</v>
      </c>
      <c r="H978" s="0" t="s">
        <v>22</v>
      </c>
      <c r="I978" s="0" t="s">
        <v>881</v>
      </c>
    </row>
    <row customHeight="1" ht="11.25">
      <c r="A979" s="1854" t="s">
        <v>2291</v>
      </c>
      <c r="B979" s="1854" t="s">
        <v>16</v>
      </c>
      <c r="C979" s="0" t="s">
        <v>3064</v>
      </c>
      <c r="D979" s="0" t="s">
        <v>3065</v>
      </c>
      <c r="E979" s="0" t="s">
        <v>3066</v>
      </c>
      <c r="F979" s="0" t="s">
        <v>2640</v>
      </c>
      <c r="G979" s="0" t="s">
        <v>22</v>
      </c>
      <c r="H979" s="0" t="s">
        <v>22</v>
      </c>
      <c r="I979" s="0" t="s">
        <v>881</v>
      </c>
    </row>
    <row customHeight="1" ht="11.25">
      <c r="A980" s="1854" t="s">
        <v>2291</v>
      </c>
      <c r="B980" s="1854" t="s">
        <v>16</v>
      </c>
      <c r="C980" s="0" t="s">
        <v>4495</v>
      </c>
      <c r="D980" s="0" t="s">
        <v>4496</v>
      </c>
      <c r="E980" s="0" t="s">
        <v>4497</v>
      </c>
      <c r="F980" s="0" t="s">
        <v>2640</v>
      </c>
      <c r="G980" s="0" t="s">
        <v>4498</v>
      </c>
      <c r="H980" s="0" t="s">
        <v>22</v>
      </c>
      <c r="I980" s="0" t="s">
        <v>881</v>
      </c>
    </row>
    <row customHeight="1" ht="11.25">
      <c r="A981" s="1854" t="s">
        <v>2291</v>
      </c>
      <c r="B981" s="1854" t="s">
        <v>16</v>
      </c>
      <c r="C981" s="0" t="s">
        <v>4499</v>
      </c>
      <c r="D981" s="0" t="s">
        <v>4500</v>
      </c>
      <c r="E981" s="0" t="s">
        <v>4501</v>
      </c>
      <c r="F981" s="0" t="s">
        <v>2425</v>
      </c>
      <c r="G981" s="0" t="s">
        <v>4502</v>
      </c>
      <c r="H981" s="0" t="s">
        <v>22</v>
      </c>
      <c r="I981" s="0" t="s">
        <v>881</v>
      </c>
    </row>
    <row customHeight="1" ht="11.25">
      <c r="A982" s="1854" t="s">
        <v>2291</v>
      </c>
      <c r="B982" s="1854" t="s">
        <v>16</v>
      </c>
      <c r="C982" s="0" t="s">
        <v>3067</v>
      </c>
      <c r="D982" s="0" t="s">
        <v>3068</v>
      </c>
      <c r="E982" s="0" t="s">
        <v>3069</v>
      </c>
      <c r="F982" s="0" t="s">
        <v>2351</v>
      </c>
      <c r="G982" s="0" t="s">
        <v>3070</v>
      </c>
      <c r="H982" s="0" t="s">
        <v>22</v>
      </c>
      <c r="I982" s="0" t="s">
        <v>881</v>
      </c>
    </row>
    <row customHeight="1" ht="11.25">
      <c r="A983" s="1854" t="s">
        <v>2291</v>
      </c>
      <c r="B983" s="1854" t="s">
        <v>16</v>
      </c>
      <c r="C983" s="0" t="s">
        <v>3071</v>
      </c>
      <c r="D983" s="0" t="s">
        <v>3072</v>
      </c>
      <c r="E983" s="0" t="s">
        <v>3073</v>
      </c>
      <c r="F983" s="0" t="s">
        <v>2420</v>
      </c>
      <c r="G983" s="0" t="s">
        <v>3074</v>
      </c>
      <c r="H983" s="0" t="s">
        <v>22</v>
      </c>
      <c r="I983" s="0" t="s">
        <v>881</v>
      </c>
    </row>
    <row customHeight="1" ht="11.25">
      <c r="A984" s="1854" t="s">
        <v>2291</v>
      </c>
      <c r="B984" s="1854" t="s">
        <v>16</v>
      </c>
      <c r="C984" s="0" t="s">
        <v>3079</v>
      </c>
      <c r="D984" s="0" t="s">
        <v>3080</v>
      </c>
      <c r="E984" s="0" t="s">
        <v>3081</v>
      </c>
      <c r="F984" s="0" t="s">
        <v>2322</v>
      </c>
      <c r="G984" s="0" t="s">
        <v>22</v>
      </c>
      <c r="H984" s="0" t="s">
        <v>22</v>
      </c>
      <c r="I984" s="0" t="s">
        <v>881</v>
      </c>
    </row>
    <row customHeight="1" ht="11.25">
      <c r="A985" s="1854" t="s">
        <v>2291</v>
      </c>
      <c r="B985" s="1854" t="s">
        <v>16</v>
      </c>
      <c r="C985" s="0" t="s">
        <v>3082</v>
      </c>
      <c r="D985" s="0" t="s">
        <v>3083</v>
      </c>
      <c r="E985" s="0" t="s">
        <v>3084</v>
      </c>
      <c r="F985" s="0" t="s">
        <v>2425</v>
      </c>
      <c r="G985" s="0" t="s">
        <v>22</v>
      </c>
      <c r="H985" s="0" t="s">
        <v>22</v>
      </c>
      <c r="I985" s="0" t="s">
        <v>881</v>
      </c>
    </row>
    <row customHeight="1" ht="11.25">
      <c r="A986" s="1854" t="s">
        <v>2291</v>
      </c>
      <c r="B986" s="1854" t="s">
        <v>16</v>
      </c>
      <c r="C986" s="0" t="s">
        <v>3085</v>
      </c>
      <c r="D986" s="0" t="s">
        <v>3086</v>
      </c>
      <c r="E986" s="0" t="s">
        <v>3087</v>
      </c>
      <c r="F986" s="0" t="s">
        <v>2425</v>
      </c>
      <c r="G986" s="0" t="s">
        <v>3088</v>
      </c>
      <c r="H986" s="0" t="s">
        <v>22</v>
      </c>
      <c r="I986" s="0" t="s">
        <v>881</v>
      </c>
    </row>
    <row customHeight="1" ht="11.25">
      <c r="A987" s="1854" t="s">
        <v>2291</v>
      </c>
      <c r="B987" s="1854" t="s">
        <v>16</v>
      </c>
      <c r="C987" s="0" t="s">
        <v>3089</v>
      </c>
      <c r="D987" s="0" t="s">
        <v>3090</v>
      </c>
      <c r="E987" s="0" t="s">
        <v>3091</v>
      </c>
      <c r="F987" s="0" t="s">
        <v>2788</v>
      </c>
      <c r="G987" s="0" t="s">
        <v>3092</v>
      </c>
      <c r="H987" s="0" t="s">
        <v>22</v>
      </c>
      <c r="I987" s="0" t="s">
        <v>881</v>
      </c>
    </row>
    <row customHeight="1" ht="11.25">
      <c r="A988" s="1854" t="s">
        <v>2291</v>
      </c>
      <c r="B988" s="1854" t="s">
        <v>16</v>
      </c>
      <c r="C988" s="0" t="s">
        <v>3093</v>
      </c>
      <c r="D988" s="0" t="s">
        <v>3094</v>
      </c>
      <c r="E988" s="0" t="s">
        <v>3095</v>
      </c>
      <c r="F988" s="0" t="s">
        <v>2750</v>
      </c>
      <c r="G988" s="0" t="s">
        <v>22</v>
      </c>
      <c r="H988" s="0" t="s">
        <v>22</v>
      </c>
      <c r="I988" s="0" t="s">
        <v>881</v>
      </c>
    </row>
    <row customHeight="1" ht="11.25">
      <c r="A989" s="1854" t="s">
        <v>2291</v>
      </c>
      <c r="B989" s="1854" t="s">
        <v>16</v>
      </c>
      <c r="C989" s="0" t="s">
        <v>3096</v>
      </c>
      <c r="D989" s="0" t="s">
        <v>3097</v>
      </c>
      <c r="E989" s="0" t="s">
        <v>3098</v>
      </c>
      <c r="F989" s="0" t="s">
        <v>2425</v>
      </c>
      <c r="G989" s="0" t="s">
        <v>22</v>
      </c>
      <c r="H989" s="0" t="s">
        <v>22</v>
      </c>
      <c r="I989" s="0" t="s">
        <v>881</v>
      </c>
    </row>
    <row customHeight="1" ht="11.25">
      <c r="A990" s="1854" t="s">
        <v>2291</v>
      </c>
      <c r="B990" s="1854" t="s">
        <v>16</v>
      </c>
      <c r="C990" s="0" t="s">
        <v>3099</v>
      </c>
      <c r="D990" s="0" t="s">
        <v>3100</v>
      </c>
      <c r="E990" s="0" t="s">
        <v>3101</v>
      </c>
      <c r="F990" s="0" t="s">
        <v>2322</v>
      </c>
      <c r="G990" s="0" t="s">
        <v>3102</v>
      </c>
      <c r="H990" s="0" t="s">
        <v>22</v>
      </c>
      <c r="I990" s="0" t="s">
        <v>881</v>
      </c>
    </row>
    <row customHeight="1" ht="11.25">
      <c r="A991" s="1854" t="s">
        <v>2291</v>
      </c>
      <c r="B991" s="1854" t="s">
        <v>16</v>
      </c>
      <c r="C991" s="0" t="s">
        <v>3107</v>
      </c>
      <c r="D991" s="0" t="s">
        <v>3108</v>
      </c>
      <c r="E991" s="0" t="s">
        <v>3109</v>
      </c>
      <c r="F991" s="0" t="s">
        <v>2640</v>
      </c>
      <c r="G991" s="0" t="s">
        <v>3110</v>
      </c>
      <c r="H991" s="0" t="s">
        <v>22</v>
      </c>
      <c r="I991" s="0" t="s">
        <v>881</v>
      </c>
    </row>
    <row customHeight="1" ht="11.25">
      <c r="A992" s="1854" t="s">
        <v>2291</v>
      </c>
      <c r="B992" s="1854" t="s">
        <v>16</v>
      </c>
      <c r="C992" s="0" t="s">
        <v>3111</v>
      </c>
      <c r="D992" s="0" t="s">
        <v>3112</v>
      </c>
      <c r="E992" s="0" t="s">
        <v>3113</v>
      </c>
      <c r="F992" s="0" t="s">
        <v>2632</v>
      </c>
      <c r="G992" s="0" t="s">
        <v>22</v>
      </c>
      <c r="H992" s="0" t="s">
        <v>3114</v>
      </c>
      <c r="I992" s="0" t="s">
        <v>881</v>
      </c>
    </row>
    <row customHeight="1" ht="11.25">
      <c r="A993" s="1854" t="s">
        <v>2291</v>
      </c>
      <c r="B993" s="1854" t="s">
        <v>16</v>
      </c>
      <c r="C993" s="0" t="s">
        <v>3115</v>
      </c>
      <c r="D993" s="0" t="s">
        <v>3116</v>
      </c>
      <c r="E993" s="0" t="s">
        <v>3117</v>
      </c>
      <c r="F993" s="0" t="s">
        <v>2750</v>
      </c>
      <c r="G993" s="0" t="s">
        <v>3118</v>
      </c>
      <c r="H993" s="0" t="s">
        <v>22</v>
      </c>
      <c r="I993" s="0" t="s">
        <v>881</v>
      </c>
    </row>
    <row customHeight="1" ht="11.25">
      <c r="A994" s="1854" t="s">
        <v>2291</v>
      </c>
      <c r="B994" s="1854" t="s">
        <v>16</v>
      </c>
      <c r="C994" s="0" t="s">
        <v>3119</v>
      </c>
      <c r="D994" s="0" t="s">
        <v>3120</v>
      </c>
      <c r="E994" s="0" t="s">
        <v>3121</v>
      </c>
      <c r="F994" s="0" t="s">
        <v>2309</v>
      </c>
      <c r="G994" s="0" t="s">
        <v>3122</v>
      </c>
      <c r="H994" s="0" t="s">
        <v>22</v>
      </c>
      <c r="I994" s="0" t="s">
        <v>881</v>
      </c>
    </row>
    <row customHeight="1" ht="11.25">
      <c r="A995" s="1854" t="s">
        <v>2291</v>
      </c>
      <c r="B995" s="1854" t="s">
        <v>16</v>
      </c>
      <c r="C995" s="0" t="s">
        <v>4503</v>
      </c>
      <c r="D995" s="0" t="s">
        <v>4504</v>
      </c>
      <c r="E995" s="0" t="s">
        <v>4505</v>
      </c>
      <c r="F995" s="0" t="s">
        <v>2377</v>
      </c>
      <c r="G995" s="0" t="s">
        <v>4506</v>
      </c>
      <c r="H995" s="0" t="s">
        <v>4507</v>
      </c>
      <c r="I995" s="0" t="s">
        <v>881</v>
      </c>
    </row>
    <row customHeight="1" ht="11.25">
      <c r="A996" s="1854" t="s">
        <v>2291</v>
      </c>
      <c r="B996" s="1854" t="s">
        <v>16</v>
      </c>
      <c r="C996" s="0" t="s">
        <v>4508</v>
      </c>
      <c r="D996" s="0" t="s">
        <v>4509</v>
      </c>
      <c r="E996" s="0" t="s">
        <v>4510</v>
      </c>
      <c r="F996" s="0" t="s">
        <v>2467</v>
      </c>
      <c r="G996" s="0" t="s">
        <v>22</v>
      </c>
      <c r="H996" s="0" t="s">
        <v>22</v>
      </c>
      <c r="I996" s="0" t="s">
        <v>881</v>
      </c>
    </row>
    <row customHeight="1" ht="11.25">
      <c r="A997" s="1854" t="s">
        <v>2291</v>
      </c>
      <c r="B997" s="1854" t="s">
        <v>16</v>
      </c>
      <c r="C997" s="0" t="s">
        <v>3123</v>
      </c>
      <c r="D997" s="0" t="s">
        <v>3124</v>
      </c>
      <c r="E997" s="0" t="s">
        <v>3125</v>
      </c>
      <c r="F997" s="0" t="s">
        <v>2322</v>
      </c>
      <c r="G997" s="0" t="s">
        <v>22</v>
      </c>
      <c r="H997" s="0" t="s">
        <v>22</v>
      </c>
      <c r="I997" s="0" t="s">
        <v>881</v>
      </c>
    </row>
    <row customHeight="1" ht="11.25">
      <c r="A998" s="1854" t="s">
        <v>2291</v>
      </c>
      <c r="B998" s="1854" t="s">
        <v>16</v>
      </c>
      <c r="C998" s="0" t="s">
        <v>3126</v>
      </c>
      <c r="D998" s="0" t="s">
        <v>3127</v>
      </c>
      <c r="E998" s="0" t="s">
        <v>3128</v>
      </c>
      <c r="F998" s="0" t="s">
        <v>2420</v>
      </c>
      <c r="G998" s="0" t="s">
        <v>22</v>
      </c>
      <c r="H998" s="0" t="s">
        <v>22</v>
      </c>
      <c r="I998" s="0" t="s">
        <v>881</v>
      </c>
    </row>
    <row customHeight="1" ht="11.25">
      <c r="A999" s="1854" t="s">
        <v>2291</v>
      </c>
      <c r="B999" s="1854" t="s">
        <v>16</v>
      </c>
      <c r="C999" s="0" t="s">
        <v>3129</v>
      </c>
      <c r="D999" s="0" t="s">
        <v>3130</v>
      </c>
      <c r="E999" s="0" t="s">
        <v>3131</v>
      </c>
      <c r="F999" s="0" t="s">
        <v>3132</v>
      </c>
      <c r="G999" s="0" t="s">
        <v>22</v>
      </c>
      <c r="H999" s="0" t="s">
        <v>22</v>
      </c>
      <c r="I999" s="0" t="s">
        <v>881</v>
      </c>
    </row>
    <row customHeight="1" ht="11.25">
      <c r="A1000" s="1854" t="s">
        <v>2291</v>
      </c>
      <c r="B1000" s="1854" t="s">
        <v>16</v>
      </c>
      <c r="C1000" s="0" t="s">
        <v>4511</v>
      </c>
      <c r="D1000" s="0" t="s">
        <v>4512</v>
      </c>
      <c r="E1000" s="0" t="s">
        <v>4513</v>
      </c>
      <c r="F1000" s="0" t="s">
        <v>2750</v>
      </c>
      <c r="G1000" s="0" t="s">
        <v>22</v>
      </c>
      <c r="H1000" s="0" t="s">
        <v>22</v>
      </c>
      <c r="I1000" s="0" t="s">
        <v>881</v>
      </c>
    </row>
    <row customHeight="1" ht="11.25">
      <c r="A1001" s="1854" t="s">
        <v>2291</v>
      </c>
      <c r="B1001" s="1854" t="s">
        <v>16</v>
      </c>
      <c r="C1001" s="0" t="s">
        <v>3137</v>
      </c>
      <c r="D1001" s="0" t="s">
        <v>3138</v>
      </c>
      <c r="E1001" s="0" t="s">
        <v>3139</v>
      </c>
      <c r="F1001" s="0" t="s">
        <v>2309</v>
      </c>
      <c r="G1001" s="0" t="s">
        <v>3140</v>
      </c>
      <c r="H1001" s="0" t="s">
        <v>22</v>
      </c>
      <c r="I1001" s="0" t="s">
        <v>881</v>
      </c>
    </row>
    <row customHeight="1" ht="11.25">
      <c r="A1002" s="1854" t="s">
        <v>2291</v>
      </c>
      <c r="B1002" s="1854" t="s">
        <v>16</v>
      </c>
      <c r="C1002" s="0" t="s">
        <v>3145</v>
      </c>
      <c r="D1002" s="0" t="s">
        <v>3146</v>
      </c>
      <c r="E1002" s="0" t="s">
        <v>3147</v>
      </c>
      <c r="F1002" s="0" t="s">
        <v>2351</v>
      </c>
      <c r="G1002" s="0" t="s">
        <v>3148</v>
      </c>
      <c r="H1002" s="0" t="s">
        <v>22</v>
      </c>
      <c r="I1002" s="0" t="s">
        <v>881</v>
      </c>
    </row>
    <row customHeight="1" ht="11.25">
      <c r="A1003" s="1854" t="s">
        <v>2291</v>
      </c>
      <c r="B1003" s="1854" t="s">
        <v>16</v>
      </c>
      <c r="C1003" s="0" t="s">
        <v>3149</v>
      </c>
      <c r="D1003" s="0" t="s">
        <v>3150</v>
      </c>
      <c r="E1003" s="0" t="s">
        <v>3151</v>
      </c>
      <c r="F1003" s="0" t="s">
        <v>2322</v>
      </c>
      <c r="G1003" s="0" t="s">
        <v>3152</v>
      </c>
      <c r="H1003" s="0" t="s">
        <v>22</v>
      </c>
      <c r="I1003" s="0" t="s">
        <v>881</v>
      </c>
    </row>
    <row customHeight="1" ht="11.25">
      <c r="A1004" s="1854" t="s">
        <v>2291</v>
      </c>
      <c r="B1004" s="1854" t="s">
        <v>16</v>
      </c>
      <c r="C1004" s="0" t="s">
        <v>3153</v>
      </c>
      <c r="D1004" s="0" t="s">
        <v>3154</v>
      </c>
      <c r="E1004" s="0" t="s">
        <v>3155</v>
      </c>
      <c r="F1004" s="0" t="s">
        <v>2322</v>
      </c>
      <c r="G1004" s="0" t="s">
        <v>3106</v>
      </c>
      <c r="H1004" s="0" t="s">
        <v>22</v>
      </c>
      <c r="I1004" s="0" t="s">
        <v>881</v>
      </c>
    </row>
    <row customHeight="1" ht="11.25">
      <c r="A1005" s="1854" t="s">
        <v>2291</v>
      </c>
      <c r="B1005" s="1854" t="s">
        <v>16</v>
      </c>
      <c r="C1005" s="0" t="s">
        <v>3156</v>
      </c>
      <c r="D1005" s="0" t="s">
        <v>3157</v>
      </c>
      <c r="E1005" s="0" t="s">
        <v>3158</v>
      </c>
      <c r="F1005" s="0" t="s">
        <v>2351</v>
      </c>
      <c r="G1005" s="0" t="s">
        <v>22</v>
      </c>
      <c r="H1005" s="0" t="s">
        <v>22</v>
      </c>
      <c r="I1005" s="0" t="s">
        <v>881</v>
      </c>
    </row>
    <row customHeight="1" ht="11.25">
      <c r="A1006" s="1854" t="s">
        <v>2291</v>
      </c>
      <c r="B1006" s="1854" t="s">
        <v>16</v>
      </c>
      <c r="C1006" s="0" t="s">
        <v>3159</v>
      </c>
      <c r="D1006" s="0" t="s">
        <v>3160</v>
      </c>
      <c r="E1006" s="0" t="s">
        <v>3161</v>
      </c>
      <c r="F1006" s="0" t="s">
        <v>2425</v>
      </c>
      <c r="G1006" s="0" t="s">
        <v>3162</v>
      </c>
      <c r="H1006" s="0" t="s">
        <v>22</v>
      </c>
      <c r="I1006" s="0" t="s">
        <v>881</v>
      </c>
    </row>
    <row customHeight="1" ht="11.25">
      <c r="A1007" s="1854" t="s">
        <v>2291</v>
      </c>
      <c r="B1007" s="1854" t="s">
        <v>16</v>
      </c>
      <c r="C1007" s="0" t="s">
        <v>3174</v>
      </c>
      <c r="D1007" s="0" t="s">
        <v>3175</v>
      </c>
      <c r="E1007" s="0" t="s">
        <v>3176</v>
      </c>
      <c r="F1007" s="0" t="s">
        <v>2467</v>
      </c>
      <c r="G1007" s="0" t="s">
        <v>3177</v>
      </c>
      <c r="H1007" s="0" t="s">
        <v>22</v>
      </c>
      <c r="I1007" s="0" t="s">
        <v>881</v>
      </c>
    </row>
    <row customHeight="1" ht="11.25">
      <c r="A1008" s="1854" t="s">
        <v>2291</v>
      </c>
      <c r="B1008" s="1854" t="s">
        <v>16</v>
      </c>
      <c r="C1008" s="0" t="s">
        <v>3178</v>
      </c>
      <c r="D1008" s="0" t="s">
        <v>3179</v>
      </c>
      <c r="E1008" s="0" t="s">
        <v>3180</v>
      </c>
      <c r="F1008" s="0" t="s">
        <v>2309</v>
      </c>
      <c r="G1008" s="0" t="s">
        <v>3181</v>
      </c>
      <c r="H1008" s="0" t="s">
        <v>22</v>
      </c>
      <c r="I1008" s="0" t="s">
        <v>881</v>
      </c>
    </row>
    <row customHeight="1" ht="11.25">
      <c r="A1009" s="1854" t="s">
        <v>2291</v>
      </c>
      <c r="B1009" s="1854" t="s">
        <v>16</v>
      </c>
      <c r="C1009" s="0" t="s">
        <v>3182</v>
      </c>
      <c r="D1009" s="0" t="s">
        <v>3183</v>
      </c>
      <c r="E1009" s="0" t="s">
        <v>3184</v>
      </c>
      <c r="F1009" s="0" t="s">
        <v>2425</v>
      </c>
      <c r="G1009" s="0" t="s">
        <v>3185</v>
      </c>
      <c r="H1009" s="0" t="s">
        <v>22</v>
      </c>
      <c r="I1009" s="0" t="s">
        <v>881</v>
      </c>
    </row>
    <row customHeight="1" ht="11.25">
      <c r="A1010" s="1854" t="s">
        <v>2291</v>
      </c>
      <c r="B1010" s="1854" t="s">
        <v>16</v>
      </c>
      <c r="C1010" s="0" t="s">
        <v>3186</v>
      </c>
      <c r="D1010" s="0" t="s">
        <v>3187</v>
      </c>
      <c r="E1010" s="0" t="s">
        <v>3188</v>
      </c>
      <c r="F1010" s="0" t="s">
        <v>2425</v>
      </c>
      <c r="G1010" s="0" t="s">
        <v>3189</v>
      </c>
      <c r="H1010" s="0" t="s">
        <v>22</v>
      </c>
      <c r="I1010" s="0" t="s">
        <v>881</v>
      </c>
    </row>
    <row customHeight="1" ht="11.25">
      <c r="A1011" s="1854" t="s">
        <v>2291</v>
      </c>
      <c r="B1011" s="1854" t="s">
        <v>16</v>
      </c>
      <c r="C1011" s="0" t="s">
        <v>4514</v>
      </c>
      <c r="D1011" s="0" t="s">
        <v>4515</v>
      </c>
      <c r="E1011" s="0" t="s">
        <v>4516</v>
      </c>
      <c r="F1011" s="0" t="s">
        <v>2377</v>
      </c>
      <c r="G1011" s="0" t="s">
        <v>22</v>
      </c>
      <c r="H1011" s="0" t="s">
        <v>22</v>
      </c>
      <c r="I1011" s="0" t="s">
        <v>881</v>
      </c>
    </row>
    <row customHeight="1" ht="11.25">
      <c r="A1012" s="1854" t="s">
        <v>2291</v>
      </c>
      <c r="B1012" s="1854" t="s">
        <v>16</v>
      </c>
      <c r="C1012" s="0" t="s">
        <v>4517</v>
      </c>
      <c r="D1012" s="0" t="s">
        <v>4518</v>
      </c>
      <c r="E1012" s="0" t="s">
        <v>4519</v>
      </c>
      <c r="F1012" s="0" t="s">
        <v>2405</v>
      </c>
      <c r="G1012" s="0" t="s">
        <v>22</v>
      </c>
      <c r="H1012" s="0" t="s">
        <v>22</v>
      </c>
      <c r="I1012" s="0" t="s">
        <v>881</v>
      </c>
    </row>
    <row customHeight="1" ht="11.25">
      <c r="A1013" s="1854" t="s">
        <v>2291</v>
      </c>
      <c r="B1013" s="1854" t="s">
        <v>16</v>
      </c>
      <c r="C1013" s="0" t="s">
        <v>3190</v>
      </c>
      <c r="D1013" s="0" t="s">
        <v>3191</v>
      </c>
      <c r="E1013" s="0" t="s">
        <v>3192</v>
      </c>
      <c r="F1013" s="0" t="s">
        <v>2750</v>
      </c>
      <c r="G1013" s="0" t="s">
        <v>3193</v>
      </c>
      <c r="H1013" s="0" t="s">
        <v>22</v>
      </c>
      <c r="I1013" s="0" t="s">
        <v>881</v>
      </c>
    </row>
    <row customHeight="1" ht="11.25">
      <c r="A1014" s="1854" t="s">
        <v>2291</v>
      </c>
      <c r="B1014" s="1854" t="s">
        <v>16</v>
      </c>
      <c r="C1014" s="0" t="s">
        <v>3194</v>
      </c>
      <c r="D1014" s="0" t="s">
        <v>3195</v>
      </c>
      <c r="E1014" s="0" t="s">
        <v>3196</v>
      </c>
      <c r="F1014" s="0" t="s">
        <v>2750</v>
      </c>
      <c r="G1014" s="0" t="s">
        <v>3197</v>
      </c>
      <c r="H1014" s="0" t="s">
        <v>22</v>
      </c>
      <c r="I1014" s="0" t="s">
        <v>881</v>
      </c>
    </row>
    <row customHeight="1" ht="11.25">
      <c r="A1015" s="1854" t="s">
        <v>2291</v>
      </c>
      <c r="B1015" s="1854" t="s">
        <v>16</v>
      </c>
      <c r="C1015" s="0" t="s">
        <v>4520</v>
      </c>
      <c r="D1015" s="0" t="s">
        <v>4521</v>
      </c>
      <c r="E1015" s="0" t="s">
        <v>4522</v>
      </c>
      <c r="F1015" s="0" t="s">
        <v>2401</v>
      </c>
      <c r="G1015" s="0" t="s">
        <v>4523</v>
      </c>
      <c r="H1015" s="0" t="s">
        <v>22</v>
      </c>
      <c r="I1015" s="0" t="s">
        <v>881</v>
      </c>
    </row>
    <row customHeight="1" ht="11.25">
      <c r="A1016" s="1854" t="s">
        <v>2291</v>
      </c>
      <c r="B1016" s="1854" t="s">
        <v>16</v>
      </c>
      <c r="C1016" s="0" t="s">
        <v>3201</v>
      </c>
      <c r="D1016" s="0" t="s">
        <v>3202</v>
      </c>
      <c r="E1016" s="0" t="s">
        <v>3203</v>
      </c>
      <c r="F1016" s="0" t="s">
        <v>2377</v>
      </c>
      <c r="G1016" s="0" t="s">
        <v>3204</v>
      </c>
      <c r="H1016" s="0" t="s">
        <v>22</v>
      </c>
      <c r="I1016" s="0" t="s">
        <v>881</v>
      </c>
    </row>
    <row customHeight="1" ht="11.25">
      <c r="A1017" s="1854" t="s">
        <v>2291</v>
      </c>
      <c r="B1017" s="1854" t="s">
        <v>16</v>
      </c>
      <c r="C1017" s="0" t="s">
        <v>4524</v>
      </c>
      <c r="D1017" s="0" t="s">
        <v>4525</v>
      </c>
      <c r="E1017" s="0" t="s">
        <v>4526</v>
      </c>
      <c r="F1017" s="0" t="s">
        <v>2377</v>
      </c>
      <c r="G1017" s="0" t="s">
        <v>22</v>
      </c>
      <c r="H1017" s="0" t="s">
        <v>22</v>
      </c>
      <c r="I1017" s="0" t="s">
        <v>881</v>
      </c>
    </row>
    <row customHeight="1" ht="11.25">
      <c r="A1018" s="1854" t="s">
        <v>2291</v>
      </c>
      <c r="B1018" s="1854" t="s">
        <v>16</v>
      </c>
      <c r="C1018" s="0" t="s">
        <v>4527</v>
      </c>
      <c r="D1018" s="0" t="s">
        <v>4528</v>
      </c>
      <c r="E1018" s="0" t="s">
        <v>4529</v>
      </c>
      <c r="F1018" s="0" t="s">
        <v>2467</v>
      </c>
      <c r="G1018" s="0" t="s">
        <v>4530</v>
      </c>
      <c r="H1018" s="0" t="s">
        <v>22</v>
      </c>
      <c r="I1018" s="0" t="s">
        <v>881</v>
      </c>
    </row>
    <row customHeight="1" ht="11.25">
      <c r="A1019" s="1854" t="s">
        <v>2291</v>
      </c>
      <c r="B1019" s="1854" t="s">
        <v>16</v>
      </c>
      <c r="C1019" s="0" t="s">
        <v>4531</v>
      </c>
      <c r="D1019" s="0" t="s">
        <v>4532</v>
      </c>
      <c r="E1019" s="0" t="s">
        <v>4533</v>
      </c>
      <c r="F1019" s="0" t="s">
        <v>2640</v>
      </c>
      <c r="G1019" s="0" t="s">
        <v>22</v>
      </c>
      <c r="H1019" s="0" t="s">
        <v>22</v>
      </c>
      <c r="I1019" s="0" t="s">
        <v>881</v>
      </c>
    </row>
    <row customHeight="1" ht="11.25">
      <c r="A1020" s="1854" t="s">
        <v>2291</v>
      </c>
      <c r="B1020" s="1854" t="s">
        <v>16</v>
      </c>
      <c r="C1020" s="0" t="s">
        <v>3216</v>
      </c>
      <c r="D1020" s="0" t="s">
        <v>3217</v>
      </c>
      <c r="E1020" s="0" t="s">
        <v>3218</v>
      </c>
      <c r="F1020" s="0" t="s">
        <v>2750</v>
      </c>
      <c r="G1020" s="0" t="s">
        <v>3219</v>
      </c>
      <c r="H1020" s="0" t="s">
        <v>22</v>
      </c>
      <c r="I1020" s="0" t="s">
        <v>881</v>
      </c>
    </row>
    <row customHeight="1" ht="11.25">
      <c r="A1021" s="1854" t="s">
        <v>2291</v>
      </c>
      <c r="B1021" s="1854" t="s">
        <v>16</v>
      </c>
      <c r="C1021" s="0" t="s">
        <v>3220</v>
      </c>
      <c r="D1021" s="0" t="s">
        <v>3221</v>
      </c>
      <c r="E1021" s="0" t="s">
        <v>3222</v>
      </c>
      <c r="F1021" s="0" t="s">
        <v>3223</v>
      </c>
      <c r="G1021" s="0" t="s">
        <v>22</v>
      </c>
      <c r="H1021" s="0" t="s">
        <v>22</v>
      </c>
      <c r="I1021" s="0" t="s">
        <v>881</v>
      </c>
    </row>
    <row customHeight="1" ht="11.25">
      <c r="A1022" s="1854" t="s">
        <v>2291</v>
      </c>
      <c r="B1022" s="1854" t="s">
        <v>16</v>
      </c>
      <c r="C1022" s="0" t="s">
        <v>4534</v>
      </c>
      <c r="D1022" s="0" t="s">
        <v>4535</v>
      </c>
      <c r="E1022" s="0" t="s">
        <v>4536</v>
      </c>
      <c r="F1022" s="0" t="s">
        <v>2640</v>
      </c>
      <c r="G1022" s="0" t="s">
        <v>4537</v>
      </c>
      <c r="H1022" s="0" t="s">
        <v>22</v>
      </c>
      <c r="I1022" s="0" t="s">
        <v>881</v>
      </c>
    </row>
    <row customHeight="1" ht="11.25">
      <c r="A1023" s="1854" t="s">
        <v>2291</v>
      </c>
      <c r="B1023" s="1854" t="s">
        <v>16</v>
      </c>
      <c r="C1023" s="0" t="s">
        <v>3229</v>
      </c>
      <c r="D1023" s="0" t="s">
        <v>3230</v>
      </c>
      <c r="E1023" s="0" t="s">
        <v>3231</v>
      </c>
      <c r="F1023" s="0" t="s">
        <v>2313</v>
      </c>
      <c r="G1023" s="0" t="s">
        <v>3232</v>
      </c>
      <c r="H1023" s="0" t="s">
        <v>22</v>
      </c>
      <c r="I1023" s="0" t="s">
        <v>881</v>
      </c>
    </row>
    <row customHeight="1" ht="11.25">
      <c r="A1024" s="1854" t="s">
        <v>2291</v>
      </c>
      <c r="B1024" s="1854" t="s">
        <v>16</v>
      </c>
      <c r="C1024" s="0" t="s">
        <v>3233</v>
      </c>
      <c r="D1024" s="0" t="s">
        <v>3234</v>
      </c>
      <c r="E1024" s="0" t="s">
        <v>3235</v>
      </c>
      <c r="F1024" s="0" t="s">
        <v>2295</v>
      </c>
      <c r="G1024" s="0" t="s">
        <v>3236</v>
      </c>
      <c r="H1024" s="0" t="s">
        <v>22</v>
      </c>
      <c r="I1024" s="0" t="s">
        <v>881</v>
      </c>
    </row>
    <row customHeight="1" ht="11.25">
      <c r="A1025" s="1854" t="s">
        <v>2291</v>
      </c>
      <c r="B1025" s="1854" t="s">
        <v>16</v>
      </c>
      <c r="C1025" s="0" t="s">
        <v>4538</v>
      </c>
      <c r="D1025" s="0" t="s">
        <v>4539</v>
      </c>
      <c r="E1025" s="0" t="s">
        <v>4540</v>
      </c>
      <c r="F1025" s="0" t="s">
        <v>2322</v>
      </c>
      <c r="G1025" s="0" t="s">
        <v>22</v>
      </c>
      <c r="H1025" s="0" t="s">
        <v>22</v>
      </c>
      <c r="I1025" s="0" t="s">
        <v>881</v>
      </c>
    </row>
    <row customHeight="1" ht="11.25">
      <c r="A1026" s="1854" t="s">
        <v>2291</v>
      </c>
      <c r="B1026" s="1854" t="s">
        <v>16</v>
      </c>
      <c r="C1026" s="0" t="s">
        <v>3237</v>
      </c>
      <c r="D1026" s="0" t="s">
        <v>3238</v>
      </c>
      <c r="E1026" s="0" t="s">
        <v>3239</v>
      </c>
      <c r="F1026" s="0" t="s">
        <v>2295</v>
      </c>
      <c r="G1026" s="0" t="s">
        <v>3240</v>
      </c>
      <c r="H1026" s="0" t="s">
        <v>22</v>
      </c>
      <c r="I1026" s="0" t="s">
        <v>881</v>
      </c>
    </row>
    <row customHeight="1" ht="11.25">
      <c r="A1027" s="1854" t="s">
        <v>2291</v>
      </c>
      <c r="B1027" s="1854" t="s">
        <v>16</v>
      </c>
      <c r="C1027" s="0" t="s">
        <v>3241</v>
      </c>
      <c r="D1027" s="0" t="s">
        <v>3242</v>
      </c>
      <c r="E1027" s="0" t="s">
        <v>3243</v>
      </c>
      <c r="F1027" s="0" t="s">
        <v>2322</v>
      </c>
      <c r="G1027" s="0" t="s">
        <v>22</v>
      </c>
      <c r="H1027" s="0" t="s">
        <v>22</v>
      </c>
      <c r="I1027" s="0" t="s">
        <v>881</v>
      </c>
    </row>
    <row customHeight="1" ht="11.25">
      <c r="A1028" s="1854" t="s">
        <v>2291</v>
      </c>
      <c r="B1028" s="1854" t="s">
        <v>16</v>
      </c>
      <c r="C1028" s="0" t="s">
        <v>3244</v>
      </c>
      <c r="D1028" s="0" t="s">
        <v>3245</v>
      </c>
      <c r="E1028" s="0" t="s">
        <v>3246</v>
      </c>
      <c r="F1028" s="0" t="s">
        <v>2351</v>
      </c>
      <c r="G1028" s="0" t="s">
        <v>3247</v>
      </c>
      <c r="H1028" s="0" t="s">
        <v>22</v>
      </c>
      <c r="I1028" s="0" t="s">
        <v>881</v>
      </c>
    </row>
    <row customHeight="1" ht="11.25">
      <c r="A1029" s="1854" t="s">
        <v>2291</v>
      </c>
      <c r="B1029" s="1854" t="s">
        <v>16</v>
      </c>
      <c r="C1029" s="0" t="s">
        <v>3248</v>
      </c>
      <c r="D1029" s="0" t="s">
        <v>3249</v>
      </c>
      <c r="E1029" s="0" t="s">
        <v>3250</v>
      </c>
      <c r="F1029" s="0" t="s">
        <v>2295</v>
      </c>
      <c r="G1029" s="0" t="s">
        <v>2314</v>
      </c>
      <c r="H1029" s="0" t="s">
        <v>22</v>
      </c>
      <c r="I1029" s="0" t="s">
        <v>881</v>
      </c>
    </row>
    <row customHeight="1" ht="11.25">
      <c r="A1030" s="1854" t="s">
        <v>2291</v>
      </c>
      <c r="B1030" s="1854" t="s">
        <v>16</v>
      </c>
      <c r="C1030" s="0" t="s">
        <v>3251</v>
      </c>
      <c r="D1030" s="0" t="s">
        <v>3252</v>
      </c>
      <c r="E1030" s="0" t="s">
        <v>3253</v>
      </c>
      <c r="F1030" s="0" t="s">
        <v>2322</v>
      </c>
      <c r="G1030" s="0" t="s">
        <v>3254</v>
      </c>
      <c r="H1030" s="0" t="s">
        <v>22</v>
      </c>
      <c r="I1030" s="0" t="s">
        <v>881</v>
      </c>
    </row>
    <row customHeight="1" ht="11.25">
      <c r="A1031" s="1854" t="s">
        <v>2291</v>
      </c>
      <c r="B1031" s="1854" t="s">
        <v>16</v>
      </c>
      <c r="C1031" s="0" t="s">
        <v>3258</v>
      </c>
      <c r="D1031" s="0" t="s">
        <v>3259</v>
      </c>
      <c r="E1031" s="0" t="s">
        <v>3260</v>
      </c>
      <c r="F1031" s="0" t="s">
        <v>2640</v>
      </c>
      <c r="G1031" s="0" t="s">
        <v>3261</v>
      </c>
      <c r="H1031" s="0" t="s">
        <v>22</v>
      </c>
      <c r="I1031" s="0" t="s">
        <v>881</v>
      </c>
    </row>
    <row customHeight="1" ht="11.25">
      <c r="A1032" s="1854" t="s">
        <v>2291</v>
      </c>
      <c r="B1032" s="1854" t="s">
        <v>16</v>
      </c>
      <c r="C1032" s="0" t="s">
        <v>3262</v>
      </c>
      <c r="D1032" s="0" t="s">
        <v>3263</v>
      </c>
      <c r="E1032" s="0" t="s">
        <v>3264</v>
      </c>
      <c r="F1032" s="0" t="s">
        <v>2640</v>
      </c>
      <c r="G1032" s="0" t="s">
        <v>3265</v>
      </c>
      <c r="H1032" s="0" t="s">
        <v>22</v>
      </c>
      <c r="I1032" s="0" t="s">
        <v>881</v>
      </c>
    </row>
    <row customHeight="1" ht="11.25">
      <c r="A1033" s="1854" t="s">
        <v>2291</v>
      </c>
      <c r="B1033" s="1854" t="s">
        <v>16</v>
      </c>
      <c r="C1033" s="0" t="s">
        <v>3266</v>
      </c>
      <c r="D1033" s="0" t="s">
        <v>3267</v>
      </c>
      <c r="E1033" s="0" t="s">
        <v>3268</v>
      </c>
      <c r="F1033" s="0" t="s">
        <v>2295</v>
      </c>
      <c r="G1033" s="0" t="s">
        <v>3269</v>
      </c>
      <c r="H1033" s="0" t="s">
        <v>22</v>
      </c>
      <c r="I1033" s="0" t="s">
        <v>881</v>
      </c>
    </row>
    <row customHeight="1" ht="11.25">
      <c r="A1034" s="1854" t="s">
        <v>2291</v>
      </c>
      <c r="B1034" s="1854" t="s">
        <v>16</v>
      </c>
      <c r="C1034" s="0" t="s">
        <v>3270</v>
      </c>
      <c r="D1034" s="0" t="s">
        <v>3271</v>
      </c>
      <c r="E1034" s="0" t="s">
        <v>3272</v>
      </c>
      <c r="F1034" s="0" t="s">
        <v>2425</v>
      </c>
      <c r="G1034" s="0" t="s">
        <v>3273</v>
      </c>
      <c r="H1034" s="0" t="s">
        <v>22</v>
      </c>
      <c r="I1034" s="0" t="s">
        <v>881</v>
      </c>
    </row>
    <row customHeight="1" ht="11.25">
      <c r="A1035" s="1854" t="s">
        <v>2291</v>
      </c>
      <c r="B1035" s="1854" t="s">
        <v>16</v>
      </c>
      <c r="C1035" s="0" t="s">
        <v>3274</v>
      </c>
      <c r="D1035" s="0" t="s">
        <v>3275</v>
      </c>
      <c r="E1035" s="0" t="s">
        <v>3276</v>
      </c>
      <c r="F1035" s="0" t="s">
        <v>3277</v>
      </c>
      <c r="G1035" s="0" t="s">
        <v>22</v>
      </c>
      <c r="H1035" s="0" t="s">
        <v>22</v>
      </c>
      <c r="I1035" s="0" t="s">
        <v>881</v>
      </c>
    </row>
    <row customHeight="1" ht="11.25">
      <c r="A1036" s="1854" t="s">
        <v>2291</v>
      </c>
      <c r="B1036" s="1854" t="s">
        <v>16</v>
      </c>
      <c r="C1036" s="0" t="s">
        <v>3282</v>
      </c>
      <c r="D1036" s="0" t="s">
        <v>3283</v>
      </c>
      <c r="E1036" s="0" t="s">
        <v>3284</v>
      </c>
      <c r="F1036" s="0" t="s">
        <v>51</v>
      </c>
      <c r="G1036" s="0" t="s">
        <v>3285</v>
      </c>
      <c r="H1036" s="0" t="s">
        <v>22</v>
      </c>
      <c r="I1036" s="0" t="s">
        <v>881</v>
      </c>
    </row>
    <row customHeight="1" ht="11.25">
      <c r="A1037" s="1854" t="s">
        <v>2291</v>
      </c>
      <c r="B1037" s="1854" t="s">
        <v>16</v>
      </c>
      <c r="C1037" s="0" t="s">
        <v>3286</v>
      </c>
      <c r="D1037" s="0" t="s">
        <v>3287</v>
      </c>
      <c r="E1037" s="0" t="s">
        <v>3288</v>
      </c>
      <c r="F1037" s="0" t="s">
        <v>2351</v>
      </c>
      <c r="G1037" s="0" t="s">
        <v>22</v>
      </c>
      <c r="H1037" s="0" t="s">
        <v>22</v>
      </c>
      <c r="I1037" s="0" t="s">
        <v>881</v>
      </c>
    </row>
    <row customHeight="1" ht="11.25">
      <c r="A1038" s="1854" t="s">
        <v>2291</v>
      </c>
      <c r="B1038" s="1854" t="s">
        <v>16</v>
      </c>
      <c r="C1038" s="0" t="s">
        <v>3292</v>
      </c>
      <c r="D1038" s="0" t="s">
        <v>3293</v>
      </c>
      <c r="E1038" s="0" t="s">
        <v>3294</v>
      </c>
      <c r="F1038" s="0" t="s">
        <v>2750</v>
      </c>
      <c r="G1038" s="0" t="s">
        <v>3295</v>
      </c>
      <c r="H1038" s="0" t="s">
        <v>22</v>
      </c>
      <c r="I1038" s="0" t="s">
        <v>881</v>
      </c>
    </row>
    <row customHeight="1" ht="11.25">
      <c r="A1039" s="1854" t="s">
        <v>2291</v>
      </c>
      <c r="B1039" s="1854" t="s">
        <v>16</v>
      </c>
      <c r="C1039" s="0" t="s">
        <v>3296</v>
      </c>
      <c r="D1039" s="0" t="s">
        <v>3297</v>
      </c>
      <c r="E1039" s="0" t="s">
        <v>3298</v>
      </c>
      <c r="F1039" s="0" t="s">
        <v>2351</v>
      </c>
      <c r="G1039" s="0" t="s">
        <v>22</v>
      </c>
      <c r="H1039" s="0" t="s">
        <v>22</v>
      </c>
      <c r="I1039" s="0" t="s">
        <v>881</v>
      </c>
    </row>
    <row customHeight="1" ht="11.25">
      <c r="A1040" s="1854" t="s">
        <v>2291</v>
      </c>
      <c r="B1040" s="1854" t="s">
        <v>16</v>
      </c>
      <c r="C1040" s="0" t="s">
        <v>3299</v>
      </c>
      <c r="D1040" s="0" t="s">
        <v>3300</v>
      </c>
      <c r="E1040" s="0" t="s">
        <v>3301</v>
      </c>
      <c r="F1040" s="0" t="s">
        <v>2295</v>
      </c>
      <c r="G1040" s="0" t="s">
        <v>22</v>
      </c>
      <c r="H1040" s="0" t="s">
        <v>22</v>
      </c>
      <c r="I1040" s="0" t="s">
        <v>881</v>
      </c>
    </row>
    <row customHeight="1" ht="11.25">
      <c r="A1041" s="1854" t="s">
        <v>2291</v>
      </c>
      <c r="B1041" s="1854" t="s">
        <v>16</v>
      </c>
      <c r="C1041" s="0" t="s">
        <v>3302</v>
      </c>
      <c r="D1041" s="0" t="s">
        <v>3303</v>
      </c>
      <c r="E1041" s="0" t="s">
        <v>3304</v>
      </c>
      <c r="F1041" s="0" t="s">
        <v>3305</v>
      </c>
      <c r="G1041" s="0" t="s">
        <v>22</v>
      </c>
      <c r="H1041" s="0" t="s">
        <v>22</v>
      </c>
      <c r="I1041" s="0" t="s">
        <v>881</v>
      </c>
    </row>
    <row customHeight="1" ht="11.25">
      <c r="A1042" s="1854" t="s">
        <v>2291</v>
      </c>
      <c r="B1042" s="1854" t="s">
        <v>16</v>
      </c>
      <c r="C1042" s="0" t="s">
        <v>4541</v>
      </c>
      <c r="D1042" s="0" t="s">
        <v>4542</v>
      </c>
      <c r="E1042" s="0" t="s">
        <v>4543</v>
      </c>
      <c r="F1042" s="0" t="s">
        <v>2389</v>
      </c>
      <c r="G1042" s="0" t="s">
        <v>22</v>
      </c>
      <c r="H1042" s="0" t="s">
        <v>22</v>
      </c>
      <c r="I1042" s="0" t="s">
        <v>881</v>
      </c>
    </row>
    <row customHeight="1" ht="11.25">
      <c r="A1043" s="1854" t="s">
        <v>2291</v>
      </c>
      <c r="B1043" s="1854" t="s">
        <v>16</v>
      </c>
      <c r="C1043" s="0" t="s">
        <v>3306</v>
      </c>
      <c r="D1043" s="0" t="s">
        <v>3307</v>
      </c>
      <c r="E1043" s="0" t="s">
        <v>3308</v>
      </c>
      <c r="F1043" s="0" t="s">
        <v>2467</v>
      </c>
      <c r="G1043" s="0" t="s">
        <v>22</v>
      </c>
      <c r="H1043" s="0" t="s">
        <v>22</v>
      </c>
      <c r="I1043" s="0" t="s">
        <v>881</v>
      </c>
    </row>
    <row customHeight="1" ht="11.25">
      <c r="A1044" s="1854" t="s">
        <v>2291</v>
      </c>
      <c r="B1044" s="1854" t="s">
        <v>16</v>
      </c>
      <c r="C1044" s="0" t="s">
        <v>3328</v>
      </c>
      <c r="D1044" s="0" t="s">
        <v>3329</v>
      </c>
      <c r="E1044" s="0" t="s">
        <v>3330</v>
      </c>
      <c r="F1044" s="0" t="s">
        <v>2416</v>
      </c>
      <c r="G1044" s="0" t="s">
        <v>22</v>
      </c>
      <c r="H1044" s="0" t="s">
        <v>22</v>
      </c>
      <c r="I1044" s="0" t="s">
        <v>881</v>
      </c>
    </row>
    <row customHeight="1" ht="11.25">
      <c r="A1045" s="1854" t="s">
        <v>2291</v>
      </c>
      <c r="B1045" s="1854" t="s">
        <v>16</v>
      </c>
      <c r="C1045" s="0" t="s">
        <v>3337</v>
      </c>
      <c r="D1045" s="0" t="s">
        <v>3338</v>
      </c>
      <c r="E1045" s="0" t="s">
        <v>3339</v>
      </c>
      <c r="F1045" s="0" t="s">
        <v>2351</v>
      </c>
      <c r="G1045" s="0" t="s">
        <v>22</v>
      </c>
      <c r="H1045" s="0" t="s">
        <v>22</v>
      </c>
      <c r="I1045" s="0" t="s">
        <v>881</v>
      </c>
    </row>
    <row customHeight="1" ht="11.25">
      <c r="A1046" s="1854" t="s">
        <v>2291</v>
      </c>
      <c r="B1046" s="1854" t="s">
        <v>16</v>
      </c>
      <c r="C1046" s="0" t="s">
        <v>4544</v>
      </c>
      <c r="D1046" s="0" t="s">
        <v>4545</v>
      </c>
      <c r="E1046" s="0" t="s">
        <v>4546</v>
      </c>
      <c r="F1046" s="0" t="s">
        <v>2377</v>
      </c>
      <c r="G1046" s="0" t="s">
        <v>22</v>
      </c>
      <c r="H1046" s="0" t="s">
        <v>22</v>
      </c>
      <c r="I1046" s="0" t="s">
        <v>881</v>
      </c>
    </row>
    <row customHeight="1" ht="11.25">
      <c r="A1047" s="1854" t="s">
        <v>2291</v>
      </c>
      <c r="B1047" s="1854" t="s">
        <v>16</v>
      </c>
      <c r="C1047" s="0" t="s">
        <v>3355</v>
      </c>
      <c r="D1047" s="0" t="s">
        <v>3356</v>
      </c>
      <c r="E1047" s="0" t="s">
        <v>3357</v>
      </c>
      <c r="F1047" s="0" t="s">
        <v>2393</v>
      </c>
      <c r="G1047" s="0" t="s">
        <v>22</v>
      </c>
      <c r="H1047" s="0" t="s">
        <v>22</v>
      </c>
      <c r="I1047" s="0" t="s">
        <v>881</v>
      </c>
    </row>
    <row customHeight="1" ht="11.25">
      <c r="A1048" s="1854" t="s">
        <v>2291</v>
      </c>
      <c r="B1048" s="1854" t="s">
        <v>16</v>
      </c>
      <c r="C1048" s="0" t="s">
        <v>3358</v>
      </c>
      <c r="D1048" s="0" t="s">
        <v>3359</v>
      </c>
      <c r="E1048" s="0" t="s">
        <v>3360</v>
      </c>
      <c r="F1048" s="0" t="s">
        <v>2295</v>
      </c>
      <c r="G1048" s="0" t="s">
        <v>22</v>
      </c>
      <c r="H1048" s="0" t="s">
        <v>22</v>
      </c>
      <c r="I1048" s="0" t="s">
        <v>881</v>
      </c>
    </row>
    <row customHeight="1" ht="11.25">
      <c r="A1049" s="1854" t="s">
        <v>2291</v>
      </c>
      <c r="B1049" s="1854" t="s">
        <v>16</v>
      </c>
      <c r="C1049" s="0" t="s">
        <v>3381</v>
      </c>
      <c r="D1049" s="0" t="s">
        <v>3382</v>
      </c>
      <c r="E1049" s="0" t="s">
        <v>3383</v>
      </c>
      <c r="F1049" s="0" t="s">
        <v>2401</v>
      </c>
      <c r="G1049" s="0" t="s">
        <v>22</v>
      </c>
      <c r="H1049" s="0" t="s">
        <v>22</v>
      </c>
      <c r="I1049" s="0" t="s">
        <v>881</v>
      </c>
    </row>
    <row customHeight="1" ht="11.25">
      <c r="A1050" s="1854" t="s">
        <v>2291</v>
      </c>
      <c r="B1050" s="1854" t="s">
        <v>16</v>
      </c>
      <c r="C1050" s="0" t="s">
        <v>3384</v>
      </c>
      <c r="D1050" s="0" t="s">
        <v>3385</v>
      </c>
      <c r="E1050" s="0" t="s">
        <v>3386</v>
      </c>
      <c r="F1050" s="0" t="s">
        <v>3387</v>
      </c>
      <c r="G1050" s="0" t="s">
        <v>22</v>
      </c>
      <c r="H1050" s="0" t="s">
        <v>22</v>
      </c>
      <c r="I1050" s="0" t="s">
        <v>881</v>
      </c>
    </row>
    <row customHeight="1" ht="11.25">
      <c r="A1051" s="1854" t="s">
        <v>2291</v>
      </c>
      <c r="B1051" s="1854" t="s">
        <v>16</v>
      </c>
      <c r="C1051" s="0" t="s">
        <v>3391</v>
      </c>
      <c r="D1051" s="0" t="s">
        <v>3392</v>
      </c>
      <c r="E1051" s="0" t="s">
        <v>3393</v>
      </c>
      <c r="F1051" s="0" t="s">
        <v>3394</v>
      </c>
      <c r="G1051" s="0" t="s">
        <v>22</v>
      </c>
      <c r="H1051" s="0" t="s">
        <v>22</v>
      </c>
      <c r="I1051" s="0" t="s">
        <v>881</v>
      </c>
    </row>
    <row customHeight="1" ht="11.25">
      <c r="A1052" s="1854" t="s">
        <v>2291</v>
      </c>
      <c r="B1052" s="1854" t="s">
        <v>16</v>
      </c>
      <c r="C1052" s="0" t="s">
        <v>4547</v>
      </c>
      <c r="D1052" s="0" t="s">
        <v>4548</v>
      </c>
      <c r="E1052" s="0" t="s">
        <v>4549</v>
      </c>
      <c r="F1052" s="0" t="s">
        <v>2750</v>
      </c>
      <c r="G1052" s="0" t="s">
        <v>22</v>
      </c>
      <c r="H1052" s="0" t="s">
        <v>22</v>
      </c>
      <c r="I1052" s="0" t="s">
        <v>881</v>
      </c>
    </row>
    <row customHeight="1" ht="11.25">
      <c r="A1053" s="1854" t="s">
        <v>2291</v>
      </c>
      <c r="B1053" s="1854" t="s">
        <v>16</v>
      </c>
      <c r="C1053" s="0" t="s">
        <v>4550</v>
      </c>
      <c r="D1053" s="0" t="s">
        <v>4551</v>
      </c>
      <c r="E1053" s="0" t="s">
        <v>4552</v>
      </c>
      <c r="F1053" s="0" t="s">
        <v>2313</v>
      </c>
      <c r="G1053" s="0" t="s">
        <v>22</v>
      </c>
      <c r="H1053" s="0" t="s">
        <v>22</v>
      </c>
      <c r="I1053" s="0" t="s">
        <v>881</v>
      </c>
    </row>
    <row customHeight="1" ht="11.25">
      <c r="A1054" s="1854" t="s">
        <v>2291</v>
      </c>
      <c r="B1054" s="1854" t="s">
        <v>16</v>
      </c>
      <c r="C1054" s="0" t="s">
        <v>3398</v>
      </c>
      <c r="D1054" s="0" t="s">
        <v>3399</v>
      </c>
      <c r="E1054" s="0" t="s">
        <v>3400</v>
      </c>
      <c r="F1054" s="0" t="s">
        <v>2401</v>
      </c>
      <c r="G1054" s="0" t="s">
        <v>22</v>
      </c>
      <c r="H1054" s="0" t="s">
        <v>3401</v>
      </c>
      <c r="I1054" s="0" t="s">
        <v>881</v>
      </c>
    </row>
    <row customHeight="1" ht="11.25">
      <c r="A1055" s="1854" t="s">
        <v>2291</v>
      </c>
      <c r="B1055" s="1854" t="s">
        <v>16</v>
      </c>
      <c r="C1055" s="0" t="s">
        <v>3408</v>
      </c>
      <c r="D1055" s="0" t="s">
        <v>3409</v>
      </c>
      <c r="E1055" s="0" t="s">
        <v>3410</v>
      </c>
      <c r="F1055" s="0" t="s">
        <v>2313</v>
      </c>
      <c r="G1055" s="0" t="s">
        <v>22</v>
      </c>
      <c r="H1055" s="0" t="s">
        <v>22</v>
      </c>
      <c r="I1055" s="0" t="s">
        <v>881</v>
      </c>
    </row>
    <row customHeight="1" ht="11.25">
      <c r="A1056" s="1854" t="s">
        <v>2291</v>
      </c>
      <c r="B1056" s="1854" t="s">
        <v>16</v>
      </c>
      <c r="C1056" s="0" t="s">
        <v>4553</v>
      </c>
      <c r="D1056" s="0" t="s">
        <v>4554</v>
      </c>
      <c r="E1056" s="0" t="s">
        <v>4555</v>
      </c>
      <c r="F1056" s="0" t="s">
        <v>2318</v>
      </c>
      <c r="G1056" s="0" t="s">
        <v>22</v>
      </c>
      <c r="H1056" s="0" t="s">
        <v>22</v>
      </c>
      <c r="I1056" s="0" t="s">
        <v>881</v>
      </c>
    </row>
    <row customHeight="1" ht="11.25">
      <c r="A1057" s="1854" t="s">
        <v>2291</v>
      </c>
      <c r="B1057" s="1854" t="s">
        <v>16</v>
      </c>
      <c r="C1057" s="0" t="s">
        <v>4556</v>
      </c>
      <c r="D1057" s="0" t="s">
        <v>4557</v>
      </c>
      <c r="E1057" s="0" t="s">
        <v>4558</v>
      </c>
      <c r="F1057" s="0" t="s">
        <v>2313</v>
      </c>
      <c r="G1057" s="0" t="s">
        <v>22</v>
      </c>
      <c r="H1057" s="0" t="s">
        <v>22</v>
      </c>
      <c r="I1057" s="0" t="s">
        <v>881</v>
      </c>
    </row>
    <row customHeight="1" ht="11.25">
      <c r="A1058" s="1854" t="s">
        <v>2291</v>
      </c>
      <c r="B1058" s="1854" t="s">
        <v>16</v>
      </c>
      <c r="C1058" s="0" t="s">
        <v>3420</v>
      </c>
      <c r="D1058" s="0" t="s">
        <v>3421</v>
      </c>
      <c r="E1058" s="0" t="s">
        <v>3422</v>
      </c>
      <c r="F1058" s="0" t="s">
        <v>2640</v>
      </c>
      <c r="G1058" s="0" t="s">
        <v>22</v>
      </c>
      <c r="H1058" s="0" t="s">
        <v>22</v>
      </c>
      <c r="I1058" s="0" t="s">
        <v>881</v>
      </c>
    </row>
    <row customHeight="1" ht="11.25">
      <c r="A1059" s="1854" t="s">
        <v>2291</v>
      </c>
      <c r="B1059" s="1854" t="s">
        <v>16</v>
      </c>
      <c r="C1059" s="0" t="s">
        <v>4559</v>
      </c>
      <c r="D1059" s="0" t="s">
        <v>4560</v>
      </c>
      <c r="E1059" s="0" t="s">
        <v>4561</v>
      </c>
      <c r="F1059" s="0" t="s">
        <v>2295</v>
      </c>
      <c r="G1059" s="0" t="s">
        <v>22</v>
      </c>
      <c r="H1059" s="0" t="s">
        <v>22</v>
      </c>
      <c r="I1059" s="0" t="s">
        <v>881</v>
      </c>
    </row>
    <row customHeight="1" ht="11.25">
      <c r="A1060" s="1854" t="s">
        <v>2291</v>
      </c>
      <c r="B1060" s="1854" t="s">
        <v>16</v>
      </c>
      <c r="C1060" s="0" t="s">
        <v>4562</v>
      </c>
      <c r="D1060" s="0" t="s">
        <v>4563</v>
      </c>
      <c r="E1060" s="0" t="s">
        <v>4564</v>
      </c>
      <c r="F1060" s="0" t="s">
        <v>2295</v>
      </c>
      <c r="G1060" s="0" t="s">
        <v>22</v>
      </c>
      <c r="H1060" s="0" t="s">
        <v>22</v>
      </c>
      <c r="I1060" s="0" t="s">
        <v>881</v>
      </c>
    </row>
    <row customHeight="1" ht="11.25">
      <c r="A1061" s="1854" t="s">
        <v>2291</v>
      </c>
      <c r="B1061" s="1854" t="s">
        <v>16</v>
      </c>
      <c r="C1061" s="0" t="s">
        <v>3458</v>
      </c>
      <c r="D1061" s="0" t="s">
        <v>3459</v>
      </c>
      <c r="E1061" s="0" t="s">
        <v>3460</v>
      </c>
      <c r="F1061" s="0" t="s">
        <v>2389</v>
      </c>
      <c r="G1061" s="0" t="s">
        <v>22</v>
      </c>
      <c r="H1061" s="0" t="s">
        <v>22</v>
      </c>
      <c r="I1061" s="0" t="s">
        <v>881</v>
      </c>
    </row>
    <row customHeight="1" ht="11.25">
      <c r="A1062" s="1854" t="s">
        <v>2291</v>
      </c>
      <c r="B1062" s="1854" t="s">
        <v>16</v>
      </c>
      <c r="C1062" s="0" t="s">
        <v>3467</v>
      </c>
      <c r="D1062" s="0" t="s">
        <v>3468</v>
      </c>
      <c r="E1062" s="0" t="s">
        <v>3469</v>
      </c>
      <c r="F1062" s="0" t="s">
        <v>2393</v>
      </c>
      <c r="G1062" s="0" t="s">
        <v>3470</v>
      </c>
      <c r="H1062" s="0" t="s">
        <v>22</v>
      </c>
      <c r="I1062" s="0" t="s">
        <v>881</v>
      </c>
    </row>
    <row customHeight="1" ht="11.25">
      <c r="A1063" s="1854" t="s">
        <v>2291</v>
      </c>
      <c r="B1063" s="1854" t="s">
        <v>16</v>
      </c>
      <c r="C1063" s="0" t="s">
        <v>3471</v>
      </c>
      <c r="D1063" s="0" t="s">
        <v>3472</v>
      </c>
      <c r="E1063" s="0" t="s">
        <v>3473</v>
      </c>
      <c r="F1063" s="0" t="s">
        <v>2632</v>
      </c>
      <c r="G1063" s="0" t="s">
        <v>22</v>
      </c>
      <c r="H1063" s="0" t="s">
        <v>22</v>
      </c>
      <c r="I1063" s="0" t="s">
        <v>881</v>
      </c>
    </row>
    <row customHeight="1" ht="11.25">
      <c r="A1064" s="1854" t="s">
        <v>2291</v>
      </c>
      <c r="B1064" s="1854" t="s">
        <v>16</v>
      </c>
      <c r="C1064" s="0" t="s">
        <v>3474</v>
      </c>
      <c r="D1064" s="0" t="s">
        <v>3475</v>
      </c>
      <c r="E1064" s="0" t="s">
        <v>3476</v>
      </c>
      <c r="F1064" s="0" t="s">
        <v>2351</v>
      </c>
      <c r="G1064" s="0" t="s">
        <v>22</v>
      </c>
      <c r="H1064" s="0" t="s">
        <v>22</v>
      </c>
      <c r="I1064" s="0" t="s">
        <v>881</v>
      </c>
    </row>
    <row customHeight="1" ht="11.25">
      <c r="A1065" s="1854" t="s">
        <v>2291</v>
      </c>
      <c r="B1065" s="1854" t="s">
        <v>16</v>
      </c>
      <c r="C1065" s="0" t="s">
        <v>4565</v>
      </c>
      <c r="D1065" s="0" t="s">
        <v>4566</v>
      </c>
      <c r="E1065" s="0" t="s">
        <v>4567</v>
      </c>
      <c r="F1065" s="0" t="s">
        <v>2295</v>
      </c>
      <c r="G1065" s="0" t="s">
        <v>22</v>
      </c>
      <c r="H1065" s="0" t="s">
        <v>22</v>
      </c>
      <c r="I1065" s="0" t="s">
        <v>881</v>
      </c>
    </row>
    <row customHeight="1" ht="11.25">
      <c r="A1066" s="1854" t="s">
        <v>2291</v>
      </c>
      <c r="B1066" s="1854" t="s">
        <v>16</v>
      </c>
      <c r="C1066" s="0" t="s">
        <v>3489</v>
      </c>
      <c r="D1066" s="0" t="s">
        <v>3490</v>
      </c>
      <c r="E1066" s="0" t="s">
        <v>3491</v>
      </c>
      <c r="F1066" s="0" t="s">
        <v>2405</v>
      </c>
      <c r="G1066" s="0" t="s">
        <v>22</v>
      </c>
      <c r="H1066" s="0" t="s">
        <v>22</v>
      </c>
      <c r="I1066" s="0" t="s">
        <v>881</v>
      </c>
    </row>
    <row customHeight="1" ht="11.25">
      <c r="A1067" s="1854" t="s">
        <v>2291</v>
      </c>
      <c r="B1067" s="1854" t="s">
        <v>16</v>
      </c>
      <c r="C1067" s="0" t="s">
        <v>3492</v>
      </c>
      <c r="D1067" s="0" t="s">
        <v>3493</v>
      </c>
      <c r="E1067" s="0" t="s">
        <v>3494</v>
      </c>
      <c r="F1067" s="0" t="s">
        <v>2405</v>
      </c>
      <c r="G1067" s="0" t="s">
        <v>3495</v>
      </c>
      <c r="H1067" s="0" t="s">
        <v>22</v>
      </c>
      <c r="I1067" s="0" t="s">
        <v>881</v>
      </c>
    </row>
    <row customHeight="1" ht="11.25">
      <c r="A1068" s="1854" t="s">
        <v>2291</v>
      </c>
      <c r="B1068" s="1854" t="s">
        <v>16</v>
      </c>
      <c r="C1068" s="0" t="s">
        <v>3506</v>
      </c>
      <c r="D1068" s="0" t="s">
        <v>3507</v>
      </c>
      <c r="E1068" s="0" t="s">
        <v>3508</v>
      </c>
      <c r="F1068" s="0" t="s">
        <v>2405</v>
      </c>
      <c r="G1068" s="0" t="s">
        <v>22</v>
      </c>
      <c r="H1068" s="0" t="s">
        <v>22</v>
      </c>
      <c r="I1068" s="0" t="s">
        <v>881</v>
      </c>
    </row>
    <row customHeight="1" ht="11.25">
      <c r="A1069" s="1854" t="s">
        <v>2291</v>
      </c>
      <c r="B1069" s="1854" t="s">
        <v>16</v>
      </c>
      <c r="C1069" s="0" t="s">
        <v>3527</v>
      </c>
      <c r="D1069" s="0" t="s">
        <v>3528</v>
      </c>
      <c r="E1069" s="0" t="s">
        <v>3529</v>
      </c>
      <c r="F1069" s="0" t="s">
        <v>2295</v>
      </c>
      <c r="G1069" s="0" t="s">
        <v>22</v>
      </c>
      <c r="H1069" s="0" t="s">
        <v>22</v>
      </c>
      <c r="I1069" s="0" t="s">
        <v>881</v>
      </c>
    </row>
    <row customHeight="1" ht="11.25">
      <c r="A1070" s="1854" t="s">
        <v>2291</v>
      </c>
      <c r="B1070" s="1854" t="s">
        <v>16</v>
      </c>
      <c r="C1070" s="0" t="s">
        <v>4568</v>
      </c>
      <c r="D1070" s="0" t="s">
        <v>4569</v>
      </c>
      <c r="E1070" s="0" t="s">
        <v>4570</v>
      </c>
      <c r="F1070" s="0" t="s">
        <v>2405</v>
      </c>
      <c r="G1070" s="0" t="s">
        <v>22</v>
      </c>
      <c r="H1070" s="0" t="s">
        <v>22</v>
      </c>
      <c r="I1070" s="0" t="s">
        <v>881</v>
      </c>
    </row>
    <row customHeight="1" ht="11.25">
      <c r="A1071" s="1854" t="s">
        <v>2291</v>
      </c>
      <c r="B1071" s="1854" t="s">
        <v>16</v>
      </c>
      <c r="C1071" s="0" t="s">
        <v>3559</v>
      </c>
      <c r="D1071" s="0" t="s">
        <v>3560</v>
      </c>
      <c r="E1071" s="0" t="s">
        <v>3561</v>
      </c>
      <c r="F1071" s="0" t="s">
        <v>2359</v>
      </c>
      <c r="G1071" s="0" t="s">
        <v>22</v>
      </c>
      <c r="H1071" s="0" t="s">
        <v>22</v>
      </c>
      <c r="I1071" s="0" t="s">
        <v>881</v>
      </c>
    </row>
    <row customHeight="1" ht="11.25">
      <c r="A1072" s="1854" t="s">
        <v>2291</v>
      </c>
      <c r="B1072" s="1854" t="s">
        <v>16</v>
      </c>
      <c r="C1072" s="0" t="s">
        <v>3592</v>
      </c>
      <c r="D1072" s="0" t="s">
        <v>3593</v>
      </c>
      <c r="E1072" s="0" t="s">
        <v>2303</v>
      </c>
      <c r="F1072" s="0" t="s">
        <v>2526</v>
      </c>
      <c r="G1072" s="0" t="s">
        <v>22</v>
      </c>
      <c r="H1072" s="0" t="s">
        <v>22</v>
      </c>
      <c r="I1072" s="0" t="s">
        <v>881</v>
      </c>
    </row>
    <row customHeight="1" ht="11.25">
      <c r="A1073" s="1854" t="s">
        <v>2291</v>
      </c>
      <c r="B1073" s="1854" t="s">
        <v>16</v>
      </c>
      <c r="C1073" s="0" t="s">
        <v>3594</v>
      </c>
      <c r="D1073" s="0" t="s">
        <v>3595</v>
      </c>
      <c r="E1073" s="0" t="s">
        <v>2365</v>
      </c>
      <c r="F1073" s="0" t="s">
        <v>3596</v>
      </c>
      <c r="G1073" s="0" t="s">
        <v>2370</v>
      </c>
      <c r="H1073" s="0" t="s">
        <v>22</v>
      </c>
      <c r="I1073" s="0" t="s">
        <v>881</v>
      </c>
    </row>
    <row customHeight="1" ht="11.25">
      <c r="A1074" s="1854" t="s">
        <v>2291</v>
      </c>
      <c r="B1074" s="1854" t="s">
        <v>16</v>
      </c>
      <c r="C1074" s="0" t="s">
        <v>4571</v>
      </c>
      <c r="D1074" s="0" t="s">
        <v>4572</v>
      </c>
      <c r="E1074" s="0" t="s">
        <v>4573</v>
      </c>
      <c r="F1074" s="0" t="s">
        <v>3903</v>
      </c>
      <c r="G1074" s="0" t="s">
        <v>22</v>
      </c>
      <c r="H1074" s="0" t="s">
        <v>22</v>
      </c>
      <c r="I1074" s="0" t="s">
        <v>881</v>
      </c>
    </row>
    <row customHeight="1" ht="11.25">
      <c r="A1075" s="1854" t="s">
        <v>2291</v>
      </c>
      <c r="B1075" s="1854" t="s">
        <v>16</v>
      </c>
      <c r="C1075" s="0" t="s">
        <v>4574</v>
      </c>
      <c r="D1075" s="0" t="s">
        <v>4575</v>
      </c>
      <c r="E1075" s="0" t="s">
        <v>4576</v>
      </c>
      <c r="F1075" s="0" t="s">
        <v>2405</v>
      </c>
      <c r="G1075" s="0" t="s">
        <v>22</v>
      </c>
      <c r="H1075" s="0" t="s">
        <v>22</v>
      </c>
      <c r="I1075" s="0" t="s">
        <v>881</v>
      </c>
    </row>
    <row customHeight="1" ht="11.25">
      <c r="A1076" s="1854" t="s">
        <v>2291</v>
      </c>
      <c r="B1076" s="1854" t="s">
        <v>16</v>
      </c>
      <c r="C1076" s="0" t="s">
        <v>4577</v>
      </c>
      <c r="D1076" s="0" t="s">
        <v>4578</v>
      </c>
      <c r="E1076" s="0" t="s">
        <v>4579</v>
      </c>
      <c r="F1076" s="0" t="s">
        <v>4580</v>
      </c>
      <c r="G1076" s="0" t="s">
        <v>4581</v>
      </c>
      <c r="H1076" s="0" t="s">
        <v>22</v>
      </c>
      <c r="I1076" s="0" t="s">
        <v>881</v>
      </c>
    </row>
    <row customHeight="1" ht="11.25">
      <c r="A1077" s="1854" t="s">
        <v>2291</v>
      </c>
      <c r="B1077" s="1854" t="s">
        <v>16</v>
      </c>
      <c r="C1077" s="0" t="s">
        <v>3616</v>
      </c>
      <c r="D1077" s="0" t="s">
        <v>3617</v>
      </c>
      <c r="E1077" s="0" t="s">
        <v>3618</v>
      </c>
      <c r="F1077" s="0" t="s">
        <v>2405</v>
      </c>
      <c r="G1077" s="0" t="s">
        <v>3619</v>
      </c>
      <c r="H1077" s="0" t="s">
        <v>22</v>
      </c>
      <c r="I1077" s="0" t="s">
        <v>881</v>
      </c>
    </row>
    <row customHeight="1" ht="11.25">
      <c r="A1078" s="1854" t="s">
        <v>2291</v>
      </c>
      <c r="B1078" s="1854" t="s">
        <v>16</v>
      </c>
      <c r="C1078" s="0" t="s">
        <v>4582</v>
      </c>
      <c r="D1078" s="0" t="s">
        <v>4583</v>
      </c>
      <c r="E1078" s="0" t="s">
        <v>4584</v>
      </c>
      <c r="F1078" s="0" t="s">
        <v>2401</v>
      </c>
      <c r="G1078" s="0" t="s">
        <v>22</v>
      </c>
      <c r="H1078" s="0" t="s">
        <v>22</v>
      </c>
      <c r="I1078" s="0" t="s">
        <v>881</v>
      </c>
    </row>
    <row customHeight="1" ht="11.25">
      <c r="A1079" s="1854" t="s">
        <v>2291</v>
      </c>
      <c r="B1079" s="1854" t="s">
        <v>16</v>
      </c>
      <c r="C1079" s="0" t="s">
        <v>4585</v>
      </c>
      <c r="D1079" s="0" t="s">
        <v>4586</v>
      </c>
      <c r="E1079" s="0" t="s">
        <v>4587</v>
      </c>
      <c r="F1079" s="0" t="s">
        <v>2393</v>
      </c>
      <c r="G1079" s="0" t="s">
        <v>22</v>
      </c>
      <c r="H1079" s="0" t="s">
        <v>22</v>
      </c>
      <c r="I1079" s="0" t="s">
        <v>881</v>
      </c>
    </row>
    <row customHeight="1" ht="11.25">
      <c r="A1080" s="1854" t="s">
        <v>2291</v>
      </c>
      <c r="B1080" s="1854" t="s">
        <v>16</v>
      </c>
      <c r="C1080" s="0" t="s">
        <v>3633</v>
      </c>
      <c r="D1080" s="0" t="s">
        <v>3634</v>
      </c>
      <c r="E1080" s="0" t="s">
        <v>3635</v>
      </c>
      <c r="F1080" s="0" t="s">
        <v>2796</v>
      </c>
      <c r="G1080" s="0" t="s">
        <v>3636</v>
      </c>
      <c r="H1080" s="0" t="s">
        <v>3637</v>
      </c>
      <c r="I1080" s="0" t="s">
        <v>881</v>
      </c>
    </row>
    <row customHeight="1" ht="11.25">
      <c r="A1081" s="1854" t="s">
        <v>2291</v>
      </c>
      <c r="B1081" s="1854" t="s">
        <v>16</v>
      </c>
      <c r="C1081" s="0" t="s">
        <v>3645</v>
      </c>
      <c r="D1081" s="0" t="s">
        <v>3646</v>
      </c>
      <c r="E1081" s="0" t="s">
        <v>3647</v>
      </c>
      <c r="F1081" s="0" t="s">
        <v>2401</v>
      </c>
      <c r="G1081" s="0" t="s">
        <v>3648</v>
      </c>
      <c r="H1081" s="0" t="s">
        <v>22</v>
      </c>
      <c r="I1081" s="0" t="s">
        <v>881</v>
      </c>
    </row>
    <row customHeight="1" ht="11.25">
      <c r="A1082" s="1854" t="s">
        <v>2291</v>
      </c>
      <c r="B1082" s="1854" t="s">
        <v>16</v>
      </c>
      <c r="C1082" s="0" t="s">
        <v>4588</v>
      </c>
      <c r="D1082" s="0" t="s">
        <v>4589</v>
      </c>
      <c r="E1082" s="0" t="s">
        <v>4590</v>
      </c>
      <c r="F1082" s="0" t="s">
        <v>4591</v>
      </c>
      <c r="G1082" s="0" t="s">
        <v>4592</v>
      </c>
      <c r="H1082" s="0" t="s">
        <v>22</v>
      </c>
      <c r="I1082" s="0" t="s">
        <v>881</v>
      </c>
    </row>
    <row customHeight="1" ht="11.25">
      <c r="A1083" s="1854" t="s">
        <v>2291</v>
      </c>
      <c r="B1083" s="1854" t="s">
        <v>16</v>
      </c>
      <c r="C1083" s="0" t="s">
        <v>4593</v>
      </c>
      <c r="D1083" s="0" t="s">
        <v>4594</v>
      </c>
      <c r="E1083" s="0" t="s">
        <v>4595</v>
      </c>
      <c r="F1083" s="0" t="s">
        <v>2359</v>
      </c>
      <c r="G1083" s="0" t="s">
        <v>22</v>
      </c>
      <c r="H1083" s="0" t="s">
        <v>22</v>
      </c>
      <c r="I1083" s="0" t="s">
        <v>881</v>
      </c>
    </row>
    <row customHeight="1" ht="11.25">
      <c r="A1084" s="1854" t="s">
        <v>2291</v>
      </c>
      <c r="B1084" s="1854" t="s">
        <v>16</v>
      </c>
      <c r="C1084" s="0" t="s">
        <v>3652</v>
      </c>
      <c r="D1084" s="0" t="s">
        <v>3653</v>
      </c>
      <c r="E1084" s="0" t="s">
        <v>3654</v>
      </c>
      <c r="F1084" s="0" t="s">
        <v>2393</v>
      </c>
      <c r="G1084" s="0" t="s">
        <v>22</v>
      </c>
      <c r="H1084" s="0" t="s">
        <v>22</v>
      </c>
      <c r="I1084" s="0" t="s">
        <v>881</v>
      </c>
    </row>
    <row customHeight="1" ht="11.25">
      <c r="A1085" s="1854" t="s">
        <v>2291</v>
      </c>
      <c r="B1085" s="1854" t="s">
        <v>16</v>
      </c>
      <c r="C1085" s="0" t="s">
        <v>3655</v>
      </c>
      <c r="D1085" s="0" t="s">
        <v>3656</v>
      </c>
      <c r="E1085" s="0" t="s">
        <v>3657</v>
      </c>
      <c r="F1085" s="0" t="s">
        <v>2389</v>
      </c>
      <c r="G1085" s="0" t="s">
        <v>22</v>
      </c>
      <c r="H1085" s="0" t="s">
        <v>22</v>
      </c>
      <c r="I1085" s="0" t="s">
        <v>881</v>
      </c>
    </row>
    <row customHeight="1" ht="11.25">
      <c r="A1086" s="1854" t="s">
        <v>2291</v>
      </c>
      <c r="B1086" s="1854" t="s">
        <v>16</v>
      </c>
      <c r="C1086" s="0" t="s">
        <v>4596</v>
      </c>
      <c r="D1086" s="0" t="s">
        <v>4597</v>
      </c>
      <c r="E1086" s="0" t="s">
        <v>4598</v>
      </c>
      <c r="F1086" s="0" t="s">
        <v>2351</v>
      </c>
      <c r="G1086" s="0" t="s">
        <v>4599</v>
      </c>
      <c r="H1086" s="0" t="s">
        <v>22</v>
      </c>
      <c r="I1086" s="0" t="s">
        <v>881</v>
      </c>
    </row>
    <row customHeight="1" ht="11.25">
      <c r="A1087" s="1854" t="s">
        <v>2291</v>
      </c>
      <c r="B1087" s="1854" t="s">
        <v>16</v>
      </c>
      <c r="C1087" s="0" t="s">
        <v>3658</v>
      </c>
      <c r="D1087" s="0" t="s">
        <v>3659</v>
      </c>
      <c r="E1087" s="0" t="s">
        <v>3660</v>
      </c>
      <c r="F1087" s="0" t="s">
        <v>3661</v>
      </c>
      <c r="G1087" s="0" t="s">
        <v>22</v>
      </c>
      <c r="H1087" s="0" t="s">
        <v>22</v>
      </c>
      <c r="I1087" s="0" t="s">
        <v>881</v>
      </c>
    </row>
    <row customHeight="1" ht="11.25">
      <c r="A1088" s="1854" t="s">
        <v>2291</v>
      </c>
      <c r="B1088" s="1854" t="s">
        <v>16</v>
      </c>
      <c r="C1088" s="0" t="s">
        <v>4600</v>
      </c>
      <c r="D1088" s="0" t="s">
        <v>4601</v>
      </c>
      <c r="E1088" s="0" t="s">
        <v>3660</v>
      </c>
      <c r="F1088" s="0" t="s">
        <v>4602</v>
      </c>
      <c r="G1088" s="0" t="s">
        <v>4603</v>
      </c>
      <c r="H1088" s="0" t="s">
        <v>22</v>
      </c>
      <c r="I1088" s="0" t="s">
        <v>881</v>
      </c>
    </row>
    <row customHeight="1" ht="11.25">
      <c r="A1089" s="1854" t="s">
        <v>2291</v>
      </c>
      <c r="B1089" s="1854" t="s">
        <v>16</v>
      </c>
      <c r="C1089" s="0" t="s">
        <v>3676</v>
      </c>
      <c r="D1089" s="0" t="s">
        <v>3677</v>
      </c>
      <c r="E1089" s="0" t="s">
        <v>3660</v>
      </c>
      <c r="F1089" s="0" t="s">
        <v>3678</v>
      </c>
      <c r="G1089" s="0" t="s">
        <v>22</v>
      </c>
      <c r="H1089" s="0" t="s">
        <v>22</v>
      </c>
      <c r="I1089" s="0" t="s">
        <v>881</v>
      </c>
    </row>
    <row customHeight="1" ht="11.25">
      <c r="A1090" s="1854" t="s">
        <v>2291</v>
      </c>
      <c r="B1090" s="1854" t="s">
        <v>16</v>
      </c>
      <c r="C1090" s="0" t="s">
        <v>3691</v>
      </c>
      <c r="D1090" s="0" t="s">
        <v>3692</v>
      </c>
      <c r="E1090" s="0" t="s">
        <v>3693</v>
      </c>
      <c r="F1090" s="0" t="s">
        <v>2727</v>
      </c>
      <c r="G1090" s="0" t="s">
        <v>3694</v>
      </c>
      <c r="H1090" s="0" t="s">
        <v>22</v>
      </c>
      <c r="I1090" s="0" t="s">
        <v>881</v>
      </c>
    </row>
    <row customHeight="1" ht="11.25">
      <c r="A1091" s="1854" t="s">
        <v>2291</v>
      </c>
      <c r="B1091" s="1854" t="s">
        <v>16</v>
      </c>
      <c r="C1091" s="0" t="s">
        <v>3695</v>
      </c>
      <c r="D1091" s="0" t="s">
        <v>3696</v>
      </c>
      <c r="E1091" s="0" t="s">
        <v>3693</v>
      </c>
      <c r="F1091" s="0" t="s">
        <v>3697</v>
      </c>
      <c r="G1091" s="0" t="s">
        <v>3694</v>
      </c>
      <c r="H1091" s="0" t="s">
        <v>22</v>
      </c>
      <c r="I1091" s="0" t="s">
        <v>881</v>
      </c>
    </row>
    <row customHeight="1" ht="11.25">
      <c r="A1092" s="1854" t="s">
        <v>2291</v>
      </c>
      <c r="B1092" s="1854" t="s">
        <v>16</v>
      </c>
      <c r="C1092" s="0" t="s">
        <v>3698</v>
      </c>
      <c r="D1092" s="0" t="s">
        <v>3699</v>
      </c>
      <c r="E1092" s="0" t="s">
        <v>3700</v>
      </c>
      <c r="F1092" s="0" t="s">
        <v>3701</v>
      </c>
      <c r="G1092" s="0" t="s">
        <v>22</v>
      </c>
      <c r="H1092" s="0" t="s">
        <v>3702</v>
      </c>
      <c r="I1092" s="0" t="s">
        <v>881</v>
      </c>
    </row>
    <row customHeight="1" ht="11.25">
      <c r="A1093" s="1854" t="s">
        <v>2291</v>
      </c>
      <c r="B1093" s="1854" t="s">
        <v>16</v>
      </c>
      <c r="C1093" s="0" t="s">
        <v>4604</v>
      </c>
      <c r="D1093" s="0" t="s">
        <v>4605</v>
      </c>
      <c r="E1093" s="0" t="s">
        <v>4606</v>
      </c>
      <c r="F1093" s="0" t="s">
        <v>2750</v>
      </c>
      <c r="G1093" s="0" t="s">
        <v>4607</v>
      </c>
      <c r="H1093" s="0" t="s">
        <v>22</v>
      </c>
      <c r="I1093" s="0" t="s">
        <v>881</v>
      </c>
    </row>
    <row customHeight="1" ht="11.25">
      <c r="A1094" s="1854" t="s">
        <v>2291</v>
      </c>
      <c r="B1094" s="1854" t="s">
        <v>16</v>
      </c>
      <c r="C1094" s="0" t="s">
        <v>3721</v>
      </c>
      <c r="D1094" s="0" t="s">
        <v>3722</v>
      </c>
      <c r="E1094" s="0" t="s">
        <v>3723</v>
      </c>
      <c r="F1094" s="0" t="s">
        <v>2313</v>
      </c>
      <c r="G1094" s="0" t="s">
        <v>22</v>
      </c>
      <c r="H1094" s="0" t="s">
        <v>22</v>
      </c>
      <c r="I1094" s="0" t="s">
        <v>881</v>
      </c>
    </row>
    <row customHeight="1" ht="11.25">
      <c r="A1095" s="1854" t="s">
        <v>2291</v>
      </c>
      <c r="B1095" s="1854" t="s">
        <v>16</v>
      </c>
      <c r="C1095" s="0" t="s">
        <v>3724</v>
      </c>
      <c r="D1095" s="0" t="s">
        <v>3725</v>
      </c>
      <c r="E1095" s="0" t="s">
        <v>3726</v>
      </c>
      <c r="F1095" s="0" t="s">
        <v>3727</v>
      </c>
      <c r="G1095" s="0" t="s">
        <v>22</v>
      </c>
      <c r="H1095" s="0" t="s">
        <v>22</v>
      </c>
      <c r="I1095" s="0" t="s">
        <v>881</v>
      </c>
    </row>
    <row customHeight="1" ht="11.25">
      <c r="A1096" s="1854" t="s">
        <v>2291</v>
      </c>
      <c r="B1096" s="1854" t="s">
        <v>16</v>
      </c>
      <c r="C1096" s="0" t="s">
        <v>3728</v>
      </c>
      <c r="D1096" s="0" t="s">
        <v>3729</v>
      </c>
      <c r="E1096" s="0" t="s">
        <v>3730</v>
      </c>
      <c r="F1096" s="0" t="s">
        <v>2295</v>
      </c>
      <c r="G1096" s="0" t="s">
        <v>2797</v>
      </c>
      <c r="H1096" s="0" t="s">
        <v>22</v>
      </c>
      <c r="I1096" s="0" t="s">
        <v>881</v>
      </c>
    </row>
    <row customHeight="1" ht="11.25">
      <c r="A1097" s="1854" t="s">
        <v>2291</v>
      </c>
      <c r="B1097" s="1854" t="s">
        <v>16</v>
      </c>
      <c r="C1097" s="0" t="s">
        <v>3737</v>
      </c>
      <c r="D1097" s="0" t="s">
        <v>3738</v>
      </c>
      <c r="E1097" s="0" t="s">
        <v>3739</v>
      </c>
      <c r="F1097" s="0" t="s">
        <v>2295</v>
      </c>
      <c r="G1097" s="0" t="s">
        <v>3740</v>
      </c>
      <c r="H1097" s="0" t="s">
        <v>22</v>
      </c>
      <c r="I1097" s="0" t="s">
        <v>881</v>
      </c>
    </row>
    <row customHeight="1" ht="11.25">
      <c r="A1098" s="1854" t="s">
        <v>2291</v>
      </c>
      <c r="B1098" s="1854" t="s">
        <v>16</v>
      </c>
      <c r="C1098" s="0" t="s">
        <v>3741</v>
      </c>
      <c r="D1098" s="0" t="s">
        <v>3742</v>
      </c>
      <c r="E1098" s="0" t="s">
        <v>3743</v>
      </c>
      <c r="F1098" s="0" t="s">
        <v>3744</v>
      </c>
      <c r="G1098" s="0" t="s">
        <v>22</v>
      </c>
      <c r="H1098" s="0" t="s">
        <v>3745</v>
      </c>
      <c r="I1098" s="0" t="s">
        <v>881</v>
      </c>
    </row>
    <row customHeight="1" ht="11.25">
      <c r="A1099" s="1854" t="s">
        <v>2291</v>
      </c>
      <c r="B1099" s="1854" t="s">
        <v>16</v>
      </c>
      <c r="C1099" s="0" t="s">
        <v>3751</v>
      </c>
      <c r="D1099" s="0" t="s">
        <v>3752</v>
      </c>
      <c r="E1099" s="0" t="s">
        <v>3753</v>
      </c>
      <c r="F1099" s="0" t="s">
        <v>2295</v>
      </c>
      <c r="G1099" s="0" t="s">
        <v>22</v>
      </c>
      <c r="H1099" s="0" t="s">
        <v>22</v>
      </c>
      <c r="I1099" s="0" t="s">
        <v>881</v>
      </c>
    </row>
    <row customHeight="1" ht="11.25">
      <c r="A1100" s="1854" t="s">
        <v>2291</v>
      </c>
      <c r="B1100" s="1854" t="s">
        <v>16</v>
      </c>
      <c r="C1100" s="0" t="s">
        <v>3754</v>
      </c>
      <c r="D1100" s="0" t="s">
        <v>3755</v>
      </c>
      <c r="E1100" s="0" t="s">
        <v>3756</v>
      </c>
      <c r="F1100" s="0" t="s">
        <v>2405</v>
      </c>
      <c r="G1100" s="0" t="s">
        <v>3757</v>
      </c>
      <c r="H1100" s="0" t="s">
        <v>3758</v>
      </c>
      <c r="I1100" s="0" t="s">
        <v>881</v>
      </c>
    </row>
    <row customHeight="1" ht="11.25">
      <c r="A1101" s="1854" t="s">
        <v>2291</v>
      </c>
      <c r="B1101" s="1854" t="s">
        <v>16</v>
      </c>
      <c r="C1101" s="0" t="s">
        <v>4608</v>
      </c>
      <c r="D1101" s="0" t="s">
        <v>4609</v>
      </c>
      <c r="E1101" s="0" t="s">
        <v>4610</v>
      </c>
      <c r="F1101" s="0" t="s">
        <v>2405</v>
      </c>
      <c r="G1101" s="0" t="s">
        <v>22</v>
      </c>
      <c r="H1101" s="0" t="s">
        <v>22</v>
      </c>
      <c r="I1101" s="0" t="s">
        <v>881</v>
      </c>
    </row>
    <row customHeight="1" ht="11.25">
      <c r="A1102" s="1854" t="s">
        <v>2291</v>
      </c>
      <c r="B1102" s="1854" t="s">
        <v>16</v>
      </c>
      <c r="C1102" s="0" t="s">
        <v>3763</v>
      </c>
      <c r="D1102" s="0" t="s">
        <v>3764</v>
      </c>
      <c r="E1102" s="0" t="s">
        <v>3765</v>
      </c>
      <c r="F1102" s="0" t="s">
        <v>2393</v>
      </c>
      <c r="G1102" s="0" t="s">
        <v>22</v>
      </c>
      <c r="H1102" s="0" t="s">
        <v>22</v>
      </c>
      <c r="I1102" s="0" t="s">
        <v>881</v>
      </c>
    </row>
    <row customHeight="1" ht="11.25">
      <c r="A1103" s="1854" t="s">
        <v>2291</v>
      </c>
      <c r="B1103" s="1854" t="s">
        <v>16</v>
      </c>
      <c r="C1103" s="0" t="s">
        <v>3769</v>
      </c>
      <c r="D1103" s="0" t="s">
        <v>3770</v>
      </c>
      <c r="E1103" s="0" t="s">
        <v>3771</v>
      </c>
      <c r="F1103" s="0" t="s">
        <v>2389</v>
      </c>
      <c r="G1103" s="0" t="s">
        <v>22</v>
      </c>
      <c r="H1103" s="0" t="s">
        <v>22</v>
      </c>
      <c r="I1103" s="0" t="s">
        <v>881</v>
      </c>
    </row>
    <row customHeight="1" ht="11.25">
      <c r="A1104" s="1854" t="s">
        <v>2291</v>
      </c>
      <c r="B1104" s="1854" t="s">
        <v>16</v>
      </c>
      <c r="C1104" s="0" t="s">
        <v>3782</v>
      </c>
      <c r="D1104" s="0" t="s">
        <v>3783</v>
      </c>
      <c r="E1104" s="0" t="s">
        <v>3784</v>
      </c>
      <c r="F1104" s="0" t="s">
        <v>2401</v>
      </c>
      <c r="G1104" s="0" t="s">
        <v>22</v>
      </c>
      <c r="H1104" s="0" t="s">
        <v>22</v>
      </c>
      <c r="I1104" s="0" t="s">
        <v>881</v>
      </c>
    </row>
    <row customHeight="1" ht="11.25">
      <c r="A1105" s="1854" t="s">
        <v>2291</v>
      </c>
      <c r="B1105" s="1854" t="s">
        <v>16</v>
      </c>
      <c r="C1105" s="0" t="s">
        <v>3796</v>
      </c>
      <c r="D1105" s="0" t="s">
        <v>3797</v>
      </c>
      <c r="E1105" s="0" t="s">
        <v>3798</v>
      </c>
      <c r="F1105" s="0" t="s">
        <v>2393</v>
      </c>
      <c r="G1105" s="0" t="s">
        <v>2378</v>
      </c>
      <c r="H1105" s="0" t="s">
        <v>22</v>
      </c>
      <c r="I1105" s="0" t="s">
        <v>881</v>
      </c>
    </row>
    <row customHeight="1" ht="11.25">
      <c r="A1106" s="1854" t="s">
        <v>2291</v>
      </c>
      <c r="B1106" s="1854" t="s">
        <v>16</v>
      </c>
      <c r="C1106" s="0" t="s">
        <v>4611</v>
      </c>
      <c r="D1106" s="0" t="s">
        <v>4612</v>
      </c>
      <c r="E1106" s="0" t="s">
        <v>4613</v>
      </c>
      <c r="F1106" s="0" t="s">
        <v>51</v>
      </c>
      <c r="G1106" s="0" t="s">
        <v>3162</v>
      </c>
      <c r="H1106" s="0" t="s">
        <v>22</v>
      </c>
      <c r="I1106" s="0" t="s">
        <v>881</v>
      </c>
    </row>
    <row customHeight="1" ht="11.25">
      <c r="A1107" s="1854" t="s">
        <v>2291</v>
      </c>
      <c r="B1107" s="1854" t="s">
        <v>16</v>
      </c>
      <c r="C1107" s="0" t="s">
        <v>3821</v>
      </c>
      <c r="D1107" s="0" t="s">
        <v>3822</v>
      </c>
      <c r="E1107" s="0" t="s">
        <v>3823</v>
      </c>
      <c r="F1107" s="0" t="s">
        <v>2640</v>
      </c>
      <c r="G1107" s="0" t="s">
        <v>22</v>
      </c>
      <c r="H1107" s="0" t="s">
        <v>22</v>
      </c>
      <c r="I1107" s="0" t="s">
        <v>881</v>
      </c>
    </row>
    <row customHeight="1" ht="11.25">
      <c r="A1108" s="1854" t="s">
        <v>2291</v>
      </c>
      <c r="B1108" s="1854" t="s">
        <v>16</v>
      </c>
      <c r="C1108" s="0" t="s">
        <v>3841</v>
      </c>
      <c r="D1108" s="0" t="s">
        <v>3842</v>
      </c>
      <c r="E1108" s="0" t="s">
        <v>3843</v>
      </c>
      <c r="F1108" s="0" t="s">
        <v>2405</v>
      </c>
      <c r="G1108" s="0" t="s">
        <v>22</v>
      </c>
      <c r="H1108" s="0" t="s">
        <v>22</v>
      </c>
      <c r="I1108" s="0" t="s">
        <v>881</v>
      </c>
    </row>
    <row customHeight="1" ht="11.25">
      <c r="A1109" s="1854" t="s">
        <v>2291</v>
      </c>
      <c r="B1109" s="1854" t="s">
        <v>16</v>
      </c>
      <c r="C1109" s="0" t="s">
        <v>3867</v>
      </c>
      <c r="D1109" s="0" t="s">
        <v>3868</v>
      </c>
      <c r="E1109" s="0" t="s">
        <v>3869</v>
      </c>
      <c r="F1109" s="0" t="s">
        <v>2416</v>
      </c>
      <c r="G1109" s="0" t="s">
        <v>22</v>
      </c>
      <c r="H1109" s="0" t="s">
        <v>22</v>
      </c>
      <c r="I1109" s="0" t="s">
        <v>881</v>
      </c>
    </row>
    <row customHeight="1" ht="11.25">
      <c r="A1110" s="1854" t="s">
        <v>2291</v>
      </c>
      <c r="B1110" s="1854" t="s">
        <v>16</v>
      </c>
      <c r="C1110" s="0" t="s">
        <v>3870</v>
      </c>
      <c r="D1110" s="0" t="s">
        <v>3871</v>
      </c>
      <c r="E1110" s="0" t="s">
        <v>3872</v>
      </c>
      <c r="F1110" s="0" t="s">
        <v>2830</v>
      </c>
      <c r="G1110" s="0" t="s">
        <v>3873</v>
      </c>
      <c r="H1110" s="0" t="s">
        <v>22</v>
      </c>
      <c r="I1110" s="0" t="s">
        <v>881</v>
      </c>
    </row>
    <row customHeight="1" ht="11.25">
      <c r="A1111" s="1854" t="s">
        <v>2291</v>
      </c>
      <c r="B1111" s="1854" t="s">
        <v>16</v>
      </c>
      <c r="C1111" s="0" t="s">
        <v>3885</v>
      </c>
      <c r="D1111" s="0" t="s">
        <v>3886</v>
      </c>
      <c r="E1111" s="0" t="s">
        <v>3887</v>
      </c>
      <c r="F1111" s="0" t="s">
        <v>2389</v>
      </c>
      <c r="G1111" s="0" t="s">
        <v>3888</v>
      </c>
      <c r="H1111" s="0" t="s">
        <v>22</v>
      </c>
      <c r="I1111" s="0" t="s">
        <v>881</v>
      </c>
    </row>
    <row customHeight="1" ht="11.25">
      <c r="A1112" s="1854" t="s">
        <v>2291</v>
      </c>
      <c r="B1112" s="1854" t="s">
        <v>16</v>
      </c>
      <c r="C1112" s="0" t="s">
        <v>3896</v>
      </c>
      <c r="D1112" s="0" t="s">
        <v>3897</v>
      </c>
      <c r="E1112" s="0" t="s">
        <v>3898</v>
      </c>
      <c r="F1112" s="0" t="s">
        <v>2389</v>
      </c>
      <c r="G1112" s="0" t="s">
        <v>3899</v>
      </c>
      <c r="H1112" s="0" t="s">
        <v>22</v>
      </c>
      <c r="I1112" s="0" t="s">
        <v>881</v>
      </c>
    </row>
    <row customHeight="1" ht="11.25">
      <c r="A1113" s="1854" t="s">
        <v>2291</v>
      </c>
      <c r="B1113" s="1854" t="s">
        <v>16</v>
      </c>
      <c r="C1113" s="0" t="s">
        <v>3917</v>
      </c>
      <c r="D1113" s="0" t="s">
        <v>3918</v>
      </c>
      <c r="E1113" s="0" t="s">
        <v>3919</v>
      </c>
      <c r="F1113" s="0" t="s">
        <v>2640</v>
      </c>
      <c r="G1113" s="0" t="s">
        <v>3920</v>
      </c>
      <c r="H1113" s="0" t="s">
        <v>22</v>
      </c>
      <c r="I1113" s="0" t="s">
        <v>881</v>
      </c>
    </row>
    <row customHeight="1" ht="11.25">
      <c r="A1114" s="1854" t="s">
        <v>2291</v>
      </c>
      <c r="B1114" s="1854" t="s">
        <v>16</v>
      </c>
      <c r="C1114" s="0" t="s">
        <v>4614</v>
      </c>
      <c r="D1114" s="0" t="s">
        <v>4615</v>
      </c>
      <c r="E1114" s="0" t="s">
        <v>4616</v>
      </c>
      <c r="F1114" s="0" t="s">
        <v>2416</v>
      </c>
      <c r="G1114" s="0" t="s">
        <v>4617</v>
      </c>
      <c r="H1114" s="0" t="s">
        <v>22</v>
      </c>
      <c r="I1114" s="0" t="s">
        <v>881</v>
      </c>
    </row>
    <row customHeight="1" ht="11.25">
      <c r="A1115" s="1854" t="s">
        <v>2291</v>
      </c>
      <c r="B1115" s="1854" t="s">
        <v>16</v>
      </c>
      <c r="C1115" s="0" t="s">
        <v>3949</v>
      </c>
      <c r="D1115" s="0" t="s">
        <v>3950</v>
      </c>
      <c r="E1115" s="0" t="s">
        <v>3951</v>
      </c>
      <c r="F1115" s="0" t="s">
        <v>2389</v>
      </c>
      <c r="G1115" s="0" t="s">
        <v>3952</v>
      </c>
      <c r="H1115" s="0" t="s">
        <v>3953</v>
      </c>
      <c r="I1115" s="0" t="s">
        <v>881</v>
      </c>
    </row>
    <row customHeight="1" ht="11.25">
      <c r="A1116" s="1854" t="s">
        <v>2291</v>
      </c>
      <c r="B1116" s="1854" t="s">
        <v>16</v>
      </c>
      <c r="C1116" s="0" t="s">
        <v>3957</v>
      </c>
      <c r="D1116" s="0" t="s">
        <v>3958</v>
      </c>
      <c r="E1116" s="0" t="s">
        <v>3959</v>
      </c>
      <c r="F1116" s="0" t="s">
        <v>2401</v>
      </c>
      <c r="G1116" s="0" t="s">
        <v>3960</v>
      </c>
      <c r="H1116" s="0" t="s">
        <v>22</v>
      </c>
      <c r="I1116" s="0" t="s">
        <v>881</v>
      </c>
    </row>
    <row customHeight="1" ht="11.25">
      <c r="A1117" s="1854" t="s">
        <v>2291</v>
      </c>
      <c r="B1117" s="1854" t="s">
        <v>16</v>
      </c>
      <c r="C1117" s="0" t="s">
        <v>3964</v>
      </c>
      <c r="D1117" s="0" t="s">
        <v>3965</v>
      </c>
      <c r="E1117" s="0" t="s">
        <v>3966</v>
      </c>
      <c r="F1117" s="0" t="s">
        <v>2389</v>
      </c>
      <c r="G1117" s="0" t="s">
        <v>22</v>
      </c>
      <c r="H1117" s="0" t="s">
        <v>22</v>
      </c>
      <c r="I1117" s="0" t="s">
        <v>881</v>
      </c>
    </row>
    <row customHeight="1" ht="11.25">
      <c r="A1118" s="1854" t="s">
        <v>2291</v>
      </c>
      <c r="B1118" s="1854" t="s">
        <v>16</v>
      </c>
      <c r="C1118" s="0" t="s">
        <v>4618</v>
      </c>
      <c r="D1118" s="0" t="s">
        <v>4619</v>
      </c>
      <c r="E1118" s="0" t="s">
        <v>4620</v>
      </c>
      <c r="F1118" s="0" t="s">
        <v>2393</v>
      </c>
      <c r="G1118" s="0" t="s">
        <v>4621</v>
      </c>
      <c r="H1118" s="0" t="s">
        <v>22</v>
      </c>
      <c r="I1118" s="0" t="s">
        <v>881</v>
      </c>
    </row>
    <row customHeight="1" ht="11.25">
      <c r="A1119" s="1854" t="s">
        <v>2291</v>
      </c>
      <c r="B1119" s="1854" t="s">
        <v>16</v>
      </c>
      <c r="C1119" s="0" t="s">
        <v>3967</v>
      </c>
      <c r="D1119" s="0" t="s">
        <v>3968</v>
      </c>
      <c r="E1119" s="0" t="s">
        <v>3969</v>
      </c>
      <c r="F1119" s="0" t="s">
        <v>2295</v>
      </c>
      <c r="G1119" s="0" t="s">
        <v>22</v>
      </c>
      <c r="H1119" s="0" t="s">
        <v>22</v>
      </c>
      <c r="I1119" s="0" t="s">
        <v>881</v>
      </c>
    </row>
    <row customHeight="1" ht="11.25">
      <c r="A1120" s="1854" t="s">
        <v>2291</v>
      </c>
      <c r="B1120" s="1854" t="s">
        <v>16</v>
      </c>
      <c r="C1120" s="0" t="s">
        <v>3970</v>
      </c>
      <c r="D1120" s="0" t="s">
        <v>3971</v>
      </c>
      <c r="E1120" s="0" t="s">
        <v>3972</v>
      </c>
      <c r="F1120" s="0" t="s">
        <v>2389</v>
      </c>
      <c r="G1120" s="0" t="s">
        <v>3973</v>
      </c>
      <c r="H1120" s="0" t="s">
        <v>3974</v>
      </c>
      <c r="I1120" s="0" t="s">
        <v>881</v>
      </c>
    </row>
    <row customHeight="1" ht="11.25">
      <c r="A1121" s="1854" t="s">
        <v>2291</v>
      </c>
      <c r="B1121" s="1854" t="s">
        <v>16</v>
      </c>
      <c r="C1121" s="0" t="s">
        <v>3982</v>
      </c>
      <c r="D1121" s="0" t="s">
        <v>3983</v>
      </c>
      <c r="E1121" s="0" t="s">
        <v>3984</v>
      </c>
      <c r="F1121" s="0" t="s">
        <v>2632</v>
      </c>
      <c r="G1121" s="0" t="s">
        <v>3985</v>
      </c>
      <c r="H1121" s="0" t="s">
        <v>22</v>
      </c>
      <c r="I1121" s="0" t="s">
        <v>881</v>
      </c>
    </row>
    <row customHeight="1" ht="11.25">
      <c r="A1122" s="1854" t="s">
        <v>2291</v>
      </c>
      <c r="B1122" s="1854" t="s">
        <v>16</v>
      </c>
      <c r="C1122" s="0" t="s">
        <v>4003</v>
      </c>
      <c r="D1122" s="0" t="s">
        <v>4004</v>
      </c>
      <c r="E1122" s="0" t="s">
        <v>4005</v>
      </c>
      <c r="F1122" s="0" t="s">
        <v>2640</v>
      </c>
      <c r="G1122" s="0" t="s">
        <v>22</v>
      </c>
      <c r="H1122" s="0" t="s">
        <v>22</v>
      </c>
      <c r="I1122" s="0" t="s">
        <v>881</v>
      </c>
    </row>
    <row customHeight="1" ht="11.25">
      <c r="A1123" s="1854" t="s">
        <v>2291</v>
      </c>
      <c r="B1123" s="1854" t="s">
        <v>16</v>
      </c>
      <c r="C1123" s="0" t="s">
        <v>4021</v>
      </c>
      <c r="D1123" s="0" t="s">
        <v>4022</v>
      </c>
      <c r="E1123" s="0" t="s">
        <v>4023</v>
      </c>
      <c r="F1123" s="0" t="s">
        <v>2295</v>
      </c>
      <c r="G1123" s="0" t="s">
        <v>4024</v>
      </c>
      <c r="H1123" s="0" t="s">
        <v>22</v>
      </c>
      <c r="I1123" s="0" t="s">
        <v>881</v>
      </c>
    </row>
    <row customHeight="1" ht="11.25">
      <c r="A1124" s="1854" t="s">
        <v>2291</v>
      </c>
      <c r="B1124" s="1854" t="s">
        <v>16</v>
      </c>
      <c r="C1124" s="0" t="s">
        <v>4025</v>
      </c>
      <c r="D1124" s="0" t="s">
        <v>4026</v>
      </c>
      <c r="E1124" s="0" t="s">
        <v>4027</v>
      </c>
      <c r="F1124" s="0" t="s">
        <v>2393</v>
      </c>
      <c r="G1124" s="0" t="s">
        <v>4028</v>
      </c>
      <c r="H1124" s="0" t="s">
        <v>22</v>
      </c>
      <c r="I1124" s="0" t="s">
        <v>881</v>
      </c>
    </row>
    <row customHeight="1" ht="11.25">
      <c r="A1125" s="1854" t="s">
        <v>2291</v>
      </c>
      <c r="B1125" s="1854" t="s">
        <v>16</v>
      </c>
      <c r="C1125" s="0" t="s">
        <v>4032</v>
      </c>
      <c r="D1125" s="0" t="s">
        <v>4033</v>
      </c>
      <c r="E1125" s="0" t="s">
        <v>4034</v>
      </c>
      <c r="F1125" s="0" t="s">
        <v>2389</v>
      </c>
      <c r="G1125" s="0" t="s">
        <v>22</v>
      </c>
      <c r="H1125" s="0" t="s">
        <v>22</v>
      </c>
      <c r="I1125" s="0" t="s">
        <v>881</v>
      </c>
    </row>
    <row customHeight="1" ht="11.25">
      <c r="A1126" s="1854" t="s">
        <v>2291</v>
      </c>
      <c r="B1126" s="1854" t="s">
        <v>16</v>
      </c>
      <c r="C1126" s="0" t="s">
        <v>4622</v>
      </c>
      <c r="D1126" s="0" t="s">
        <v>4623</v>
      </c>
      <c r="E1126" s="0" t="s">
        <v>4624</v>
      </c>
      <c r="F1126" s="0" t="s">
        <v>3813</v>
      </c>
      <c r="G1126" s="0" t="s">
        <v>4625</v>
      </c>
      <c r="H1126" s="0" t="s">
        <v>22</v>
      </c>
      <c r="I1126" s="0" t="s">
        <v>881</v>
      </c>
    </row>
    <row customHeight="1" ht="11.25">
      <c r="A1127" s="1854" t="s">
        <v>2291</v>
      </c>
      <c r="B1127" s="1854" t="s">
        <v>16</v>
      </c>
      <c r="C1127" s="0" t="s">
        <v>4626</v>
      </c>
      <c r="D1127" s="0" t="s">
        <v>4627</v>
      </c>
      <c r="E1127" s="0" t="s">
        <v>4628</v>
      </c>
      <c r="F1127" s="0" t="s">
        <v>2377</v>
      </c>
      <c r="G1127" s="0" t="s">
        <v>22</v>
      </c>
      <c r="H1127" s="0" t="s">
        <v>4629</v>
      </c>
      <c r="I1127" s="0" t="s">
        <v>881</v>
      </c>
    </row>
    <row customHeight="1" ht="11.25">
      <c r="A1128" s="1854" t="s">
        <v>2291</v>
      </c>
      <c r="B1128" s="1854" t="s">
        <v>16</v>
      </c>
      <c r="C1128" s="0" t="s">
        <v>4044</v>
      </c>
      <c r="D1128" s="0" t="s">
        <v>4045</v>
      </c>
      <c r="E1128" s="0" t="s">
        <v>4046</v>
      </c>
      <c r="F1128" s="0" t="s">
        <v>2788</v>
      </c>
      <c r="G1128" s="0" t="s">
        <v>22</v>
      </c>
      <c r="H1128" s="0" t="s">
        <v>22</v>
      </c>
      <c r="I1128" s="0" t="s">
        <v>881</v>
      </c>
    </row>
    <row customHeight="1" ht="11.25">
      <c r="A1129" s="1854" t="s">
        <v>2291</v>
      </c>
      <c r="B1129" s="1854" t="s">
        <v>16</v>
      </c>
      <c r="C1129" s="0" t="s">
        <v>4053</v>
      </c>
      <c r="D1129" s="0" t="s">
        <v>4054</v>
      </c>
      <c r="E1129" s="0" t="s">
        <v>4055</v>
      </c>
      <c r="F1129" s="0" t="s">
        <v>2632</v>
      </c>
      <c r="G1129" s="0" t="s">
        <v>22</v>
      </c>
      <c r="H1129" s="0" t="s">
        <v>22</v>
      </c>
      <c r="I1129" s="0" t="s">
        <v>881</v>
      </c>
    </row>
    <row customHeight="1" ht="11.25">
      <c r="A1130" s="1854" t="s">
        <v>2291</v>
      </c>
      <c r="B1130" s="1854" t="s">
        <v>16</v>
      </c>
      <c r="C1130" s="0" t="s">
        <v>4059</v>
      </c>
      <c r="D1130" s="0" t="s">
        <v>4060</v>
      </c>
      <c r="E1130" s="0" t="s">
        <v>4061</v>
      </c>
      <c r="F1130" s="0" t="s">
        <v>2416</v>
      </c>
      <c r="G1130" s="0" t="s">
        <v>22</v>
      </c>
      <c r="H1130" s="0" t="s">
        <v>22</v>
      </c>
      <c r="I1130" s="0" t="s">
        <v>881</v>
      </c>
    </row>
    <row customHeight="1" ht="11.25">
      <c r="A1131" s="1854" t="s">
        <v>2291</v>
      </c>
      <c r="B1131" s="1854" t="s">
        <v>16</v>
      </c>
      <c r="C1131" s="0" t="s">
        <v>4069</v>
      </c>
      <c r="D1131" s="0" t="s">
        <v>4070</v>
      </c>
      <c r="E1131" s="0" t="s">
        <v>4071</v>
      </c>
      <c r="F1131" s="0" t="s">
        <v>4072</v>
      </c>
      <c r="G1131" s="0" t="s">
        <v>4073</v>
      </c>
      <c r="H1131" s="0" t="s">
        <v>22</v>
      </c>
      <c r="I1131" s="0" t="s">
        <v>881</v>
      </c>
    </row>
    <row customHeight="1" ht="11.25">
      <c r="A1132" s="1854" t="s">
        <v>2291</v>
      </c>
      <c r="B1132" s="1854" t="s">
        <v>16</v>
      </c>
      <c r="C1132" s="0" t="s">
        <v>4085</v>
      </c>
      <c r="D1132" s="0" t="s">
        <v>4086</v>
      </c>
      <c r="E1132" s="0" t="s">
        <v>4087</v>
      </c>
      <c r="F1132" s="0" t="s">
        <v>2359</v>
      </c>
      <c r="G1132" s="0" t="s">
        <v>22</v>
      </c>
      <c r="H1132" s="0" t="s">
        <v>22</v>
      </c>
      <c r="I1132" s="0" t="s">
        <v>881</v>
      </c>
    </row>
    <row customHeight="1" ht="11.25">
      <c r="A1133" s="1854" t="s">
        <v>2291</v>
      </c>
      <c r="B1133" s="1854" t="s">
        <v>16</v>
      </c>
      <c r="C1133" s="0" t="s">
        <v>4088</v>
      </c>
      <c r="D1133" s="0" t="s">
        <v>4089</v>
      </c>
      <c r="E1133" s="0" t="s">
        <v>4090</v>
      </c>
      <c r="F1133" s="0" t="s">
        <v>2359</v>
      </c>
      <c r="G1133" s="0" t="s">
        <v>22</v>
      </c>
      <c r="H1133" s="0" t="s">
        <v>22</v>
      </c>
      <c r="I1133" s="0" t="s">
        <v>881</v>
      </c>
    </row>
    <row customHeight="1" ht="11.25">
      <c r="A1134" s="1854" t="s">
        <v>2291</v>
      </c>
      <c r="B1134" s="1854" t="s">
        <v>16</v>
      </c>
      <c r="C1134" s="0" t="s">
        <v>4630</v>
      </c>
      <c r="D1134" s="0" t="s">
        <v>4631</v>
      </c>
      <c r="E1134" s="0" t="s">
        <v>4632</v>
      </c>
      <c r="F1134" s="0" t="s">
        <v>2309</v>
      </c>
      <c r="G1134" s="0" t="s">
        <v>4633</v>
      </c>
      <c r="H1134" s="0" t="s">
        <v>22</v>
      </c>
      <c r="I1134" s="0" t="s">
        <v>881</v>
      </c>
    </row>
    <row customHeight="1" ht="11.25">
      <c r="A1135" s="1854" t="s">
        <v>2291</v>
      </c>
      <c r="B1135" s="1854" t="s">
        <v>16</v>
      </c>
      <c r="C1135" s="0" t="s">
        <v>4108</v>
      </c>
      <c r="D1135" s="0" t="s">
        <v>4109</v>
      </c>
      <c r="E1135" s="0" t="s">
        <v>4110</v>
      </c>
      <c r="F1135" s="0" t="s">
        <v>2640</v>
      </c>
      <c r="G1135" s="0" t="s">
        <v>22</v>
      </c>
      <c r="H1135" s="0" t="s">
        <v>22</v>
      </c>
      <c r="I1135" s="0" t="s">
        <v>881</v>
      </c>
    </row>
    <row customHeight="1" ht="11.25">
      <c r="A1136" s="1854" t="s">
        <v>2291</v>
      </c>
      <c r="B1136" s="1854" t="s">
        <v>16</v>
      </c>
      <c r="C1136" s="0" t="s">
        <v>4111</v>
      </c>
      <c r="D1136" s="0" t="s">
        <v>4112</v>
      </c>
      <c r="E1136" s="0" t="s">
        <v>4113</v>
      </c>
      <c r="F1136" s="0" t="s">
        <v>2830</v>
      </c>
      <c r="G1136" s="0" t="s">
        <v>22</v>
      </c>
      <c r="H1136" s="0" t="s">
        <v>22</v>
      </c>
      <c r="I1136" s="0" t="s">
        <v>881</v>
      </c>
    </row>
    <row customHeight="1" ht="11.25">
      <c r="A1137" s="1854" t="s">
        <v>2291</v>
      </c>
      <c r="B1137" s="1854" t="s">
        <v>16</v>
      </c>
      <c r="C1137" s="0" t="s">
        <v>4114</v>
      </c>
      <c r="D1137" s="0" t="s">
        <v>4115</v>
      </c>
      <c r="E1137" s="0" t="s">
        <v>4116</v>
      </c>
      <c r="F1137" s="0" t="s">
        <v>3935</v>
      </c>
      <c r="G1137" s="0" t="s">
        <v>4117</v>
      </c>
      <c r="H1137" s="0" t="s">
        <v>22</v>
      </c>
      <c r="I1137" s="0" t="s">
        <v>881</v>
      </c>
    </row>
    <row customHeight="1" ht="11.25">
      <c r="A1138" s="1854" t="s">
        <v>2291</v>
      </c>
      <c r="B1138" s="1854" t="s">
        <v>16</v>
      </c>
      <c r="C1138" s="0" t="s">
        <v>4118</v>
      </c>
      <c r="D1138" s="0" t="s">
        <v>4119</v>
      </c>
      <c r="E1138" s="0" t="s">
        <v>4120</v>
      </c>
      <c r="F1138" s="0" t="s">
        <v>2640</v>
      </c>
      <c r="G1138" s="0" t="s">
        <v>4121</v>
      </c>
      <c r="H1138" s="0" t="s">
        <v>4122</v>
      </c>
      <c r="I1138" s="0" t="s">
        <v>881</v>
      </c>
    </row>
    <row customHeight="1" ht="11.25">
      <c r="A1139" s="1854" t="s">
        <v>2291</v>
      </c>
      <c r="B1139" s="1854" t="s">
        <v>16</v>
      </c>
      <c r="C1139" s="0" t="s">
        <v>4123</v>
      </c>
      <c r="D1139" s="0" t="s">
        <v>4124</v>
      </c>
      <c r="E1139" s="0" t="s">
        <v>4125</v>
      </c>
      <c r="F1139" s="0" t="s">
        <v>2369</v>
      </c>
      <c r="G1139" s="0" t="s">
        <v>22</v>
      </c>
      <c r="H1139" s="0" t="s">
        <v>22</v>
      </c>
      <c r="I1139" s="0" t="s">
        <v>881</v>
      </c>
    </row>
    <row customHeight="1" ht="11.25">
      <c r="A1140" s="1854" t="s">
        <v>2291</v>
      </c>
      <c r="B1140" s="1854" t="s">
        <v>16</v>
      </c>
      <c r="C1140" s="0" t="s">
        <v>4634</v>
      </c>
      <c r="D1140" s="0" t="s">
        <v>4635</v>
      </c>
      <c r="E1140" s="0" t="s">
        <v>4636</v>
      </c>
      <c r="F1140" s="0" t="s">
        <v>2621</v>
      </c>
      <c r="G1140" s="0" t="s">
        <v>22</v>
      </c>
      <c r="H1140" s="0" t="s">
        <v>22</v>
      </c>
      <c r="I1140" s="0" t="s">
        <v>881</v>
      </c>
    </row>
    <row customHeight="1" ht="11.25">
      <c r="A1141" s="1854" t="s">
        <v>2291</v>
      </c>
      <c r="B1141" s="1854" t="s">
        <v>16</v>
      </c>
      <c r="C1141" s="0" t="s">
        <v>4145</v>
      </c>
      <c r="D1141" s="0" t="s">
        <v>4146</v>
      </c>
      <c r="E1141" s="0" t="s">
        <v>2742</v>
      </c>
      <c r="F1141" s="0" t="s">
        <v>4147</v>
      </c>
      <c r="G1141" s="0" t="s">
        <v>22</v>
      </c>
      <c r="H1141" s="0" t="s">
        <v>22</v>
      </c>
      <c r="I1141" s="0" t="s">
        <v>881</v>
      </c>
    </row>
    <row customHeight="1" ht="11.25">
      <c r="A1142" s="1854" t="s">
        <v>2291</v>
      </c>
      <c r="B1142" s="1854" t="s">
        <v>16</v>
      </c>
      <c r="C1142" s="0" t="s">
        <v>4148</v>
      </c>
      <c r="D1142" s="0" t="s">
        <v>4149</v>
      </c>
      <c r="E1142" s="0" t="s">
        <v>2742</v>
      </c>
      <c r="F1142" s="0" t="s">
        <v>4150</v>
      </c>
      <c r="G1142" s="0" t="s">
        <v>22</v>
      </c>
      <c r="H1142" s="0" t="s">
        <v>22</v>
      </c>
      <c r="I1142" s="0" t="s">
        <v>881</v>
      </c>
    </row>
    <row customHeight="1" ht="11.25">
      <c r="A1143" s="1854" t="s">
        <v>2291</v>
      </c>
      <c r="B1143" s="1854" t="s">
        <v>16</v>
      </c>
      <c r="C1143" s="0" t="s">
        <v>4151</v>
      </c>
      <c r="D1143" s="0" t="s">
        <v>4152</v>
      </c>
      <c r="E1143" s="0" t="s">
        <v>2742</v>
      </c>
      <c r="F1143" s="0" t="s">
        <v>4153</v>
      </c>
      <c r="G1143" s="0" t="s">
        <v>22</v>
      </c>
      <c r="H1143" s="0" t="s">
        <v>22</v>
      </c>
      <c r="I1143" s="0" t="s">
        <v>881</v>
      </c>
    </row>
    <row customHeight="1" ht="11.25">
      <c r="A1144" s="1854" t="s">
        <v>2291</v>
      </c>
      <c r="B1144" s="1854" t="s">
        <v>16</v>
      </c>
      <c r="C1144" s="0" t="s">
        <v>4637</v>
      </c>
      <c r="D1144" s="0" t="s">
        <v>4638</v>
      </c>
      <c r="E1144" s="0" t="s">
        <v>4639</v>
      </c>
      <c r="F1144" s="0" t="s">
        <v>2369</v>
      </c>
      <c r="G1144" s="0" t="s">
        <v>22</v>
      </c>
      <c r="H1144" s="0" t="s">
        <v>22</v>
      </c>
      <c r="I1144" s="0" t="s">
        <v>881</v>
      </c>
    </row>
    <row customHeight="1" ht="11.25">
      <c r="A1145" s="1854" t="s">
        <v>2291</v>
      </c>
      <c r="B1145" s="1854" t="s">
        <v>16</v>
      </c>
      <c r="C1145" s="0" t="s">
        <v>4166</v>
      </c>
      <c r="D1145" s="0" t="s">
        <v>4167</v>
      </c>
      <c r="E1145" s="0" t="s">
        <v>4168</v>
      </c>
      <c r="F1145" s="0" t="s">
        <v>2425</v>
      </c>
      <c r="G1145" s="0" t="s">
        <v>22</v>
      </c>
      <c r="H1145" s="0" t="s">
        <v>22</v>
      </c>
      <c r="I1145" s="0" t="s">
        <v>881</v>
      </c>
    </row>
    <row customHeight="1" ht="11.25">
      <c r="A1146" s="1854" t="s">
        <v>2291</v>
      </c>
      <c r="B1146" s="1854" t="s">
        <v>16</v>
      </c>
      <c r="C1146" s="0" t="s">
        <v>4169</v>
      </c>
      <c r="D1146" s="0" t="s">
        <v>4170</v>
      </c>
      <c r="E1146" s="0" t="s">
        <v>4171</v>
      </c>
      <c r="F1146" s="0" t="s">
        <v>2313</v>
      </c>
      <c r="G1146" s="0" t="s">
        <v>22</v>
      </c>
      <c r="H1146" s="0" t="s">
        <v>22</v>
      </c>
      <c r="I1146" s="0" t="s">
        <v>881</v>
      </c>
    </row>
    <row customHeight="1" ht="11.25">
      <c r="A1147" s="1854" t="s">
        <v>2291</v>
      </c>
      <c r="B1147" s="1854" t="s">
        <v>16</v>
      </c>
      <c r="C1147" s="0" t="s">
        <v>4175</v>
      </c>
      <c r="D1147" s="0" t="s">
        <v>4176</v>
      </c>
      <c r="E1147" s="0" t="s">
        <v>4177</v>
      </c>
      <c r="F1147" s="0" t="s">
        <v>4178</v>
      </c>
      <c r="G1147" s="0" t="s">
        <v>22</v>
      </c>
      <c r="H1147" s="0" t="s">
        <v>22</v>
      </c>
      <c r="I1147" s="0" t="s">
        <v>881</v>
      </c>
    </row>
    <row customHeight="1" ht="11.25">
      <c r="A1148" s="1854" t="s">
        <v>2291</v>
      </c>
      <c r="B1148" s="1854" t="s">
        <v>16</v>
      </c>
      <c r="C1148" s="0" t="s">
        <v>4179</v>
      </c>
      <c r="D1148" s="0" t="s">
        <v>4180</v>
      </c>
      <c r="E1148" s="0" t="s">
        <v>4181</v>
      </c>
      <c r="F1148" s="0" t="s">
        <v>2632</v>
      </c>
      <c r="G1148" s="0" t="s">
        <v>2378</v>
      </c>
      <c r="H1148" s="0" t="s">
        <v>22</v>
      </c>
      <c r="I1148" s="0" t="s">
        <v>881</v>
      </c>
    </row>
    <row customHeight="1" ht="11.25">
      <c r="A1149" s="1854" t="s">
        <v>2291</v>
      </c>
      <c r="B1149" s="1854" t="s">
        <v>16</v>
      </c>
      <c r="C1149" s="0" t="s">
        <v>4182</v>
      </c>
      <c r="D1149" s="0" t="s">
        <v>4183</v>
      </c>
      <c r="E1149" s="0" t="s">
        <v>4184</v>
      </c>
      <c r="F1149" s="0" t="s">
        <v>4185</v>
      </c>
      <c r="G1149" s="0" t="s">
        <v>22</v>
      </c>
      <c r="H1149" s="0" t="s">
        <v>22</v>
      </c>
      <c r="I1149" s="0" t="s">
        <v>881</v>
      </c>
    </row>
    <row customHeight="1" ht="11.25">
      <c r="A1150" s="1854" t="s">
        <v>2291</v>
      </c>
      <c r="B1150" s="1854" t="s">
        <v>16</v>
      </c>
      <c r="C1150" s="0" t="s">
        <v>4186</v>
      </c>
      <c r="D1150" s="0" t="s">
        <v>4187</v>
      </c>
      <c r="E1150" s="0" t="s">
        <v>4188</v>
      </c>
      <c r="F1150" s="0" t="s">
        <v>2327</v>
      </c>
      <c r="G1150" s="0" t="s">
        <v>22</v>
      </c>
      <c r="H1150" s="0" t="s">
        <v>22</v>
      </c>
      <c r="I1150" s="0" t="s">
        <v>881</v>
      </c>
    </row>
    <row customHeight="1" ht="11.25">
      <c r="A1151" s="1854" t="s">
        <v>2291</v>
      </c>
      <c r="B1151" s="1854" t="s">
        <v>16</v>
      </c>
      <c r="C1151" s="0" t="s">
        <v>4193</v>
      </c>
      <c r="D1151" s="0" t="s">
        <v>4194</v>
      </c>
      <c r="E1151" s="0" t="s">
        <v>4195</v>
      </c>
      <c r="F1151" s="0" t="s">
        <v>4196</v>
      </c>
      <c r="G1151" s="0" t="s">
        <v>22</v>
      </c>
      <c r="H1151" s="0" t="s">
        <v>22</v>
      </c>
      <c r="I1151" s="0" t="s">
        <v>881</v>
      </c>
    </row>
    <row customHeight="1" ht="11.25">
      <c r="A1152" s="1854" t="s">
        <v>2291</v>
      </c>
      <c r="B1152" s="1854" t="s">
        <v>16</v>
      </c>
      <c r="C1152" s="0" t="s">
        <v>4197</v>
      </c>
      <c r="D1152" s="0" t="s">
        <v>4198</v>
      </c>
      <c r="E1152" s="0" t="s">
        <v>4199</v>
      </c>
      <c r="F1152" s="0" t="s">
        <v>2393</v>
      </c>
      <c r="G1152" s="0" t="s">
        <v>22</v>
      </c>
      <c r="H1152" s="0" t="s">
        <v>22</v>
      </c>
      <c r="I1152" s="0" t="s">
        <v>881</v>
      </c>
    </row>
    <row customHeight="1" ht="11.25">
      <c r="A1153" s="1854" t="s">
        <v>2291</v>
      </c>
      <c r="B1153" s="1854" t="s">
        <v>16</v>
      </c>
      <c r="C1153" s="0" t="s">
        <v>4640</v>
      </c>
      <c r="D1153" s="0" t="s">
        <v>4641</v>
      </c>
      <c r="E1153" s="0" t="s">
        <v>4642</v>
      </c>
      <c r="F1153" s="0" t="s">
        <v>2313</v>
      </c>
      <c r="G1153" s="0" t="s">
        <v>4643</v>
      </c>
      <c r="H1153" s="0" t="s">
        <v>22</v>
      </c>
      <c r="I1153" s="0" t="s">
        <v>881</v>
      </c>
    </row>
    <row customHeight="1" ht="11.25">
      <c r="A1154" s="1854" t="s">
        <v>2291</v>
      </c>
      <c r="B1154" s="1854" t="s">
        <v>16</v>
      </c>
      <c r="C1154" s="0" t="s">
        <v>4203</v>
      </c>
      <c r="D1154" s="0" t="s">
        <v>4204</v>
      </c>
      <c r="E1154" s="0" t="s">
        <v>4205</v>
      </c>
      <c r="F1154" s="0" t="s">
        <v>2369</v>
      </c>
      <c r="G1154" s="0" t="s">
        <v>4206</v>
      </c>
      <c r="H1154" s="0" t="s">
        <v>22</v>
      </c>
      <c r="I1154" s="0" t="s">
        <v>881</v>
      </c>
    </row>
    <row customHeight="1" ht="11.25">
      <c r="A1155" s="1854" t="s">
        <v>2291</v>
      </c>
      <c r="B1155" s="1854" t="s">
        <v>16</v>
      </c>
      <c r="C1155" s="0" t="s">
        <v>4207</v>
      </c>
      <c r="D1155" s="0" t="s">
        <v>4208</v>
      </c>
      <c r="E1155" s="0" t="s">
        <v>4209</v>
      </c>
      <c r="F1155" s="0" t="s">
        <v>2416</v>
      </c>
      <c r="G1155" s="0" t="s">
        <v>4210</v>
      </c>
      <c r="H1155" s="0" t="s">
        <v>22</v>
      </c>
      <c r="I1155" s="0" t="s">
        <v>881</v>
      </c>
    </row>
    <row customHeight="1" ht="11.25">
      <c r="A1156" s="1854" t="s">
        <v>2291</v>
      </c>
      <c r="B1156" s="1854" t="s">
        <v>16</v>
      </c>
      <c r="C1156" s="0" t="s">
        <v>4211</v>
      </c>
      <c r="D1156" s="0" t="s">
        <v>4212</v>
      </c>
      <c r="E1156" s="0" t="s">
        <v>4213</v>
      </c>
      <c r="F1156" s="0" t="s">
        <v>51</v>
      </c>
      <c r="G1156" s="0" t="s">
        <v>4214</v>
      </c>
      <c r="H1156" s="0" t="s">
        <v>22</v>
      </c>
      <c r="I1156" s="0" t="s">
        <v>881</v>
      </c>
    </row>
    <row customHeight="1" ht="11.25">
      <c r="A1157" s="1854" t="s">
        <v>2291</v>
      </c>
      <c r="B1157" s="1854" t="s">
        <v>16</v>
      </c>
      <c r="C1157" s="0" t="s">
        <v>4215</v>
      </c>
      <c r="D1157" s="0" t="s">
        <v>4216</v>
      </c>
      <c r="E1157" s="0" t="s">
        <v>4217</v>
      </c>
      <c r="F1157" s="0" t="s">
        <v>4218</v>
      </c>
      <c r="G1157" s="0" t="s">
        <v>4219</v>
      </c>
      <c r="H1157" s="0" t="s">
        <v>22</v>
      </c>
      <c r="I1157" s="0" t="s">
        <v>881</v>
      </c>
    </row>
    <row customHeight="1" ht="11.25">
      <c r="A1158" s="1854" t="s">
        <v>2291</v>
      </c>
      <c r="B1158" s="1854" t="s">
        <v>16</v>
      </c>
      <c r="C1158" s="0" t="s">
        <v>4224</v>
      </c>
      <c r="D1158" s="0" t="s">
        <v>4225</v>
      </c>
      <c r="E1158" s="0" t="s">
        <v>4226</v>
      </c>
      <c r="F1158" s="0" t="s">
        <v>2405</v>
      </c>
      <c r="G1158" s="0" t="s">
        <v>22</v>
      </c>
      <c r="H1158" s="0" t="s">
        <v>22</v>
      </c>
      <c r="I1158" s="0" t="s">
        <v>881</v>
      </c>
    </row>
    <row customHeight="1" ht="11.25">
      <c r="A1159" s="1854" t="s">
        <v>2291</v>
      </c>
      <c r="B1159" s="1854" t="s">
        <v>16</v>
      </c>
      <c r="C1159" s="0" t="s">
        <v>4227</v>
      </c>
      <c r="D1159" s="0" t="s">
        <v>4228</v>
      </c>
      <c r="E1159" s="0" t="s">
        <v>4199</v>
      </c>
      <c r="F1159" s="0" t="s">
        <v>4229</v>
      </c>
      <c r="G1159" s="0" t="s">
        <v>22</v>
      </c>
      <c r="H1159" s="0" t="s">
        <v>22</v>
      </c>
      <c r="I1159" s="0" t="s">
        <v>881</v>
      </c>
    </row>
    <row customHeight="1" ht="11.25">
      <c r="A1160" s="1854" t="s">
        <v>2291</v>
      </c>
      <c r="B1160" s="1854" t="s">
        <v>16</v>
      </c>
      <c r="C1160" s="0" t="s">
        <v>4230</v>
      </c>
      <c r="D1160" s="0" t="s">
        <v>4231</v>
      </c>
      <c r="E1160" s="0" t="s">
        <v>4199</v>
      </c>
      <c r="F1160" s="0" t="s">
        <v>2889</v>
      </c>
      <c r="G1160" s="0" t="s">
        <v>4232</v>
      </c>
      <c r="H1160" s="0" t="s">
        <v>22</v>
      </c>
      <c r="I1160" s="0" t="s">
        <v>881</v>
      </c>
    </row>
    <row customHeight="1" ht="11.25">
      <c r="A1161" s="1854" t="s">
        <v>2291</v>
      </c>
      <c r="B1161" s="1854" t="s">
        <v>16</v>
      </c>
      <c r="C1161" s="0" t="s">
        <v>4233</v>
      </c>
      <c r="D1161" s="0" t="s">
        <v>4234</v>
      </c>
      <c r="E1161" s="0" t="s">
        <v>4235</v>
      </c>
      <c r="F1161" s="0" t="s">
        <v>2601</v>
      </c>
      <c r="G1161" s="0" t="s">
        <v>22</v>
      </c>
      <c r="H1161" s="0" t="s">
        <v>22</v>
      </c>
      <c r="I1161" s="0" t="s">
        <v>881</v>
      </c>
    </row>
    <row customHeight="1" ht="11.25">
      <c r="A1162" s="1854" t="s">
        <v>2291</v>
      </c>
      <c r="B1162" s="1854" t="s">
        <v>16</v>
      </c>
      <c r="C1162" s="0" t="s">
        <v>22</v>
      </c>
      <c r="D1162" s="0" t="s">
        <v>4236</v>
      </c>
      <c r="E1162" s="0" t="s">
        <v>4237</v>
      </c>
      <c r="F1162" s="0" t="s">
        <v>2393</v>
      </c>
      <c r="G1162" s="0" t="s">
        <v>22</v>
      </c>
      <c r="H1162" s="0" t="s">
        <v>22</v>
      </c>
      <c r="I1162" s="0" t="s">
        <v>881</v>
      </c>
    </row>
    <row customHeight="1" ht="11.25">
      <c r="A1163" s="1854" t="s">
        <v>2291</v>
      </c>
      <c r="B1163" s="1854" t="s">
        <v>16</v>
      </c>
      <c r="C1163" s="0" t="s">
        <v>4644</v>
      </c>
      <c r="D1163" s="0" t="s">
        <v>4645</v>
      </c>
      <c r="E1163" s="0" t="s">
        <v>4646</v>
      </c>
      <c r="F1163" s="0" t="s">
        <v>4647</v>
      </c>
      <c r="G1163" s="0" t="s">
        <v>22</v>
      </c>
      <c r="H1163" s="0" t="s">
        <v>22</v>
      </c>
      <c r="I1163" s="0" t="s">
        <v>881</v>
      </c>
    </row>
    <row customHeight="1" ht="11.25">
      <c r="A1164" s="1854" t="s">
        <v>2291</v>
      </c>
      <c r="B1164" s="1854" t="s">
        <v>16</v>
      </c>
      <c r="C1164" s="0" t="s">
        <v>4648</v>
      </c>
      <c r="D1164" s="0" t="s">
        <v>4649</v>
      </c>
      <c r="E1164" s="0" t="s">
        <v>4650</v>
      </c>
      <c r="F1164" s="0" t="s">
        <v>3833</v>
      </c>
      <c r="G1164" s="0" t="s">
        <v>22</v>
      </c>
      <c r="H1164" s="0" t="s">
        <v>22</v>
      </c>
      <c r="I1164" s="0" t="s">
        <v>881</v>
      </c>
    </row>
    <row customHeight="1" ht="11.25">
      <c r="A1165" s="1854" t="s">
        <v>2291</v>
      </c>
      <c r="B1165" s="1854" t="s">
        <v>16</v>
      </c>
      <c r="C1165" s="0" t="s">
        <v>4238</v>
      </c>
      <c r="D1165" s="0" t="s">
        <v>4239</v>
      </c>
      <c r="E1165" s="0" t="s">
        <v>4240</v>
      </c>
      <c r="F1165" s="0" t="s">
        <v>2322</v>
      </c>
      <c r="G1165" s="0" t="s">
        <v>4241</v>
      </c>
      <c r="H1165" s="0" t="s">
        <v>22</v>
      </c>
      <c r="I1165" s="0" t="s">
        <v>881</v>
      </c>
    </row>
    <row customHeight="1" ht="11.25">
      <c r="A1166" s="1854" t="s">
        <v>2291</v>
      </c>
      <c r="B1166" s="1854" t="s">
        <v>16</v>
      </c>
      <c r="C1166" s="0" t="s">
        <v>4651</v>
      </c>
      <c r="D1166" s="0" t="s">
        <v>4652</v>
      </c>
      <c r="E1166" s="0" t="s">
        <v>4653</v>
      </c>
      <c r="F1166" s="0" t="s">
        <v>3833</v>
      </c>
      <c r="G1166" s="0" t="s">
        <v>4654</v>
      </c>
      <c r="H1166" s="0" t="s">
        <v>22</v>
      </c>
      <c r="I1166" s="0" t="s">
        <v>881</v>
      </c>
    </row>
    <row customHeight="1" ht="11.25">
      <c r="A1167" s="1854" t="s">
        <v>2291</v>
      </c>
      <c r="B1167" s="1854" t="s">
        <v>16</v>
      </c>
      <c r="C1167" s="0" t="s">
        <v>4655</v>
      </c>
      <c r="D1167" s="0" t="s">
        <v>4656</v>
      </c>
      <c r="E1167" s="0" t="s">
        <v>4657</v>
      </c>
      <c r="F1167" s="0" t="s">
        <v>2640</v>
      </c>
      <c r="G1167" s="0" t="s">
        <v>22</v>
      </c>
      <c r="H1167" s="0" t="s">
        <v>22</v>
      </c>
      <c r="I1167" s="0" t="s">
        <v>881</v>
      </c>
    </row>
    <row customHeight="1" ht="11.25">
      <c r="A1168" s="1854" t="s">
        <v>2291</v>
      </c>
      <c r="B1168" s="1854" t="s">
        <v>16</v>
      </c>
      <c r="C1168" s="0" t="s">
        <v>4658</v>
      </c>
      <c r="D1168" s="0" t="s">
        <v>4659</v>
      </c>
      <c r="E1168" s="0" t="s">
        <v>4660</v>
      </c>
      <c r="F1168" s="0" t="s">
        <v>3021</v>
      </c>
      <c r="G1168" s="0" t="s">
        <v>22</v>
      </c>
      <c r="H1168" s="0" t="s">
        <v>22</v>
      </c>
      <c r="I1168" s="0" t="s">
        <v>881</v>
      </c>
    </row>
    <row customHeight="1" ht="11.25">
      <c r="A1169" s="1854" t="s">
        <v>2291</v>
      </c>
      <c r="B1169" s="1854" t="s">
        <v>16</v>
      </c>
      <c r="C1169" s="0" t="s">
        <v>4661</v>
      </c>
      <c r="D1169" s="0" t="s">
        <v>4662</v>
      </c>
      <c r="E1169" s="0" t="s">
        <v>4663</v>
      </c>
      <c r="F1169" s="0" t="s">
        <v>2750</v>
      </c>
      <c r="G1169" s="0" t="s">
        <v>22</v>
      </c>
      <c r="H1169" s="0" t="s">
        <v>22</v>
      </c>
      <c r="I1169" s="0" t="s">
        <v>881</v>
      </c>
    </row>
    <row customHeight="1" ht="11.25">
      <c r="A1170" s="1854" t="s">
        <v>2291</v>
      </c>
      <c r="B1170" s="1854" t="s">
        <v>16</v>
      </c>
      <c r="C1170" s="0" t="s">
        <v>4664</v>
      </c>
      <c r="D1170" s="0" t="s">
        <v>4665</v>
      </c>
      <c r="E1170" s="0" t="s">
        <v>4666</v>
      </c>
      <c r="F1170" s="0" t="s">
        <v>2322</v>
      </c>
      <c r="G1170" s="0" t="s">
        <v>22</v>
      </c>
      <c r="H1170" s="0" t="s">
        <v>22</v>
      </c>
      <c r="I1170" s="0" t="s">
        <v>881</v>
      </c>
    </row>
    <row customHeight="1" ht="11.25">
      <c r="A1171" s="1854" t="s">
        <v>2291</v>
      </c>
      <c r="B1171" s="1854" t="s">
        <v>16</v>
      </c>
      <c r="C1171" s="0" t="s">
        <v>4667</v>
      </c>
      <c r="D1171" s="0" t="s">
        <v>4668</v>
      </c>
      <c r="E1171" s="0" t="s">
        <v>4669</v>
      </c>
      <c r="F1171" s="0" t="s">
        <v>3017</v>
      </c>
      <c r="G1171" s="0" t="s">
        <v>22</v>
      </c>
      <c r="H1171" s="0" t="s">
        <v>22</v>
      </c>
      <c r="I1171" s="0" t="s">
        <v>881</v>
      </c>
    </row>
    <row customHeight="1" ht="11.25">
      <c r="A1172" s="1854" t="s">
        <v>2291</v>
      </c>
      <c r="B1172" s="1854" t="s">
        <v>16</v>
      </c>
      <c r="C1172" s="0" t="s">
        <v>4670</v>
      </c>
      <c r="D1172" s="0" t="s">
        <v>4671</v>
      </c>
      <c r="E1172" s="0" t="s">
        <v>4672</v>
      </c>
      <c r="F1172" s="0" t="s">
        <v>2322</v>
      </c>
      <c r="G1172" s="0" t="s">
        <v>22</v>
      </c>
      <c r="H1172" s="0" t="s">
        <v>22</v>
      </c>
      <c r="I1172" s="0" t="s">
        <v>881</v>
      </c>
    </row>
    <row customHeight="1" ht="11.25">
      <c r="A1173" s="1854" t="s">
        <v>2291</v>
      </c>
      <c r="B1173" s="1854" t="s">
        <v>16</v>
      </c>
      <c r="C1173" s="0" t="s">
        <v>4673</v>
      </c>
      <c r="D1173" s="0" t="s">
        <v>4674</v>
      </c>
      <c r="E1173" s="0" t="s">
        <v>4675</v>
      </c>
      <c r="F1173" s="0" t="s">
        <v>2313</v>
      </c>
      <c r="G1173" s="0" t="s">
        <v>4676</v>
      </c>
      <c r="H1173" s="0" t="s">
        <v>22</v>
      </c>
      <c r="I1173" s="0" t="s">
        <v>881</v>
      </c>
    </row>
    <row customHeight="1" ht="11.25">
      <c r="A1174" s="1854" t="s">
        <v>2291</v>
      </c>
      <c r="B1174" s="1854" t="s">
        <v>16</v>
      </c>
      <c r="C1174" s="0" t="s">
        <v>4260</v>
      </c>
      <c r="D1174" s="0" t="s">
        <v>4261</v>
      </c>
      <c r="E1174" s="0" t="s">
        <v>4262</v>
      </c>
      <c r="F1174" s="0" t="s">
        <v>4263</v>
      </c>
      <c r="G1174" s="0" t="s">
        <v>22</v>
      </c>
      <c r="H1174" s="0" t="s">
        <v>22</v>
      </c>
      <c r="I1174" s="0" t="s">
        <v>881</v>
      </c>
    </row>
    <row customHeight="1" ht="11.25">
      <c r="A1175" s="1854" t="s">
        <v>2291</v>
      </c>
      <c r="B1175" s="1854" t="s">
        <v>16</v>
      </c>
      <c r="C1175" s="0" t="s">
        <v>4279</v>
      </c>
      <c r="D1175" s="0" t="s">
        <v>4280</v>
      </c>
      <c r="E1175" s="0" t="s">
        <v>4281</v>
      </c>
      <c r="F1175" s="0" t="s">
        <v>2393</v>
      </c>
      <c r="G1175" s="0" t="s">
        <v>22</v>
      </c>
      <c r="H1175" s="0" t="s">
        <v>22</v>
      </c>
      <c r="I1175" s="0" t="s">
        <v>881</v>
      </c>
    </row>
    <row customHeight="1" ht="11.25">
      <c r="A1176" s="1854" t="s">
        <v>2291</v>
      </c>
      <c r="B1176" s="1854" t="s">
        <v>16</v>
      </c>
      <c r="C1176" s="0" t="s">
        <v>4289</v>
      </c>
      <c r="D1176" s="0" t="s">
        <v>4290</v>
      </c>
      <c r="E1176" s="0" t="s">
        <v>4291</v>
      </c>
      <c r="F1176" s="0" t="s">
        <v>2393</v>
      </c>
      <c r="G1176" s="0" t="s">
        <v>22</v>
      </c>
      <c r="H1176" s="0" t="s">
        <v>22</v>
      </c>
      <c r="I1176" s="0" t="s">
        <v>881</v>
      </c>
    </row>
    <row customHeight="1" ht="11.25">
      <c r="A1177" s="1854" t="s">
        <v>2291</v>
      </c>
      <c r="B1177" s="1854" t="s">
        <v>16</v>
      </c>
      <c r="C1177" s="0" t="s">
        <v>4295</v>
      </c>
      <c r="D1177" s="0" t="s">
        <v>4296</v>
      </c>
      <c r="E1177" s="0" t="s">
        <v>4297</v>
      </c>
      <c r="F1177" s="0" t="s">
        <v>2377</v>
      </c>
      <c r="G1177" s="0" t="s">
        <v>4298</v>
      </c>
      <c r="H1177" s="0" t="s">
        <v>22</v>
      </c>
      <c r="I1177" s="0" t="s">
        <v>881</v>
      </c>
    </row>
    <row customHeight="1" ht="11.25">
      <c r="A1178" s="1854" t="s">
        <v>2291</v>
      </c>
      <c r="B1178" s="1854" t="s">
        <v>16</v>
      </c>
      <c r="C1178" s="0" t="s">
        <v>4299</v>
      </c>
      <c r="D1178" s="0" t="s">
        <v>4300</v>
      </c>
      <c r="E1178" s="0" t="s">
        <v>4301</v>
      </c>
      <c r="F1178" s="0" t="s">
        <v>2632</v>
      </c>
      <c r="G1178" s="0" t="s">
        <v>22</v>
      </c>
      <c r="H1178" s="0" t="s">
        <v>22</v>
      </c>
      <c r="I1178" s="0" t="s">
        <v>881</v>
      </c>
    </row>
    <row customHeight="1" ht="11.25">
      <c r="A1179" s="1854" t="s">
        <v>2291</v>
      </c>
      <c r="B1179" s="1854" t="s">
        <v>16</v>
      </c>
      <c r="C1179" s="0" t="s">
        <v>4305</v>
      </c>
      <c r="D1179" s="0" t="s">
        <v>4306</v>
      </c>
      <c r="E1179" s="0" t="s">
        <v>4281</v>
      </c>
      <c r="F1179" s="0" t="s">
        <v>2822</v>
      </c>
      <c r="G1179" s="0" t="s">
        <v>4307</v>
      </c>
      <c r="H1179" s="0" t="s">
        <v>22</v>
      </c>
      <c r="I1179" s="0" t="s">
        <v>881</v>
      </c>
    </row>
    <row customHeight="1" ht="11.25">
      <c r="A1180" s="1854" t="s">
        <v>2291</v>
      </c>
      <c r="B1180" s="1854" t="s">
        <v>16</v>
      </c>
      <c r="C1180" s="0" t="s">
        <v>4311</v>
      </c>
      <c r="D1180" s="0" t="s">
        <v>4312</v>
      </c>
      <c r="E1180" s="0" t="s">
        <v>4217</v>
      </c>
      <c r="F1180" s="0" t="s">
        <v>4313</v>
      </c>
      <c r="G1180" s="0" t="s">
        <v>4314</v>
      </c>
      <c r="H1180" s="0" t="s">
        <v>22</v>
      </c>
      <c r="I1180" s="0" t="s">
        <v>881</v>
      </c>
    </row>
    <row customHeight="1" ht="11.25">
      <c r="A1181" s="1854" t="s">
        <v>2291</v>
      </c>
      <c r="B1181" s="1854" t="s">
        <v>16</v>
      </c>
      <c r="C1181" s="0" t="s">
        <v>4315</v>
      </c>
      <c r="D1181" s="0" t="s">
        <v>4316</v>
      </c>
      <c r="E1181" s="0" t="s">
        <v>2631</v>
      </c>
      <c r="F1181" s="0" t="s">
        <v>4317</v>
      </c>
      <c r="G1181" s="0" t="s">
        <v>22</v>
      </c>
      <c r="H1181" s="0" t="s">
        <v>22</v>
      </c>
      <c r="I1181" s="0" t="s">
        <v>881</v>
      </c>
    </row>
    <row customHeight="1" ht="11.25">
      <c r="A1182" s="1854" t="s">
        <v>2291</v>
      </c>
      <c r="B1182" s="1854" t="s">
        <v>16</v>
      </c>
      <c r="C1182" s="0" t="s">
        <v>4318</v>
      </c>
      <c r="D1182" s="0" t="s">
        <v>4319</v>
      </c>
      <c r="E1182" s="0" t="s">
        <v>2631</v>
      </c>
      <c r="F1182" s="0" t="s">
        <v>2727</v>
      </c>
      <c r="G1182" s="0" t="s">
        <v>4320</v>
      </c>
      <c r="H1182" s="0" t="s">
        <v>22</v>
      </c>
      <c r="I1182" s="0" t="s">
        <v>881</v>
      </c>
    </row>
    <row customHeight="1" ht="11.25">
      <c r="A1183" s="1854" t="s">
        <v>2291</v>
      </c>
      <c r="B1183" s="1854" t="s">
        <v>16</v>
      </c>
      <c r="C1183" s="0" t="s">
        <v>4328</v>
      </c>
      <c r="D1183" s="0" t="s">
        <v>4329</v>
      </c>
      <c r="E1183" s="0" t="s">
        <v>4195</v>
      </c>
      <c r="F1183" s="0" t="s">
        <v>4330</v>
      </c>
      <c r="G1183" s="0" t="s">
        <v>22</v>
      </c>
      <c r="H1183" s="0" t="s">
        <v>22</v>
      </c>
      <c r="I1183" s="0" t="s">
        <v>881</v>
      </c>
    </row>
    <row customHeight="1" ht="11.25">
      <c r="A1184" s="1854" t="s">
        <v>2291</v>
      </c>
      <c r="B1184" s="1854" t="s">
        <v>16</v>
      </c>
      <c r="C1184" s="0" t="s">
        <v>4677</v>
      </c>
      <c r="D1184" s="0" t="s">
        <v>4678</v>
      </c>
      <c r="E1184" s="0" t="s">
        <v>4195</v>
      </c>
      <c r="F1184" s="0" t="s">
        <v>4679</v>
      </c>
      <c r="G1184" s="0" t="s">
        <v>22</v>
      </c>
      <c r="H1184" s="0" t="s">
        <v>22</v>
      </c>
      <c r="I1184" s="0" t="s">
        <v>881</v>
      </c>
    </row>
    <row customHeight="1" ht="11.25">
      <c r="A1185" s="1854" t="s">
        <v>2291</v>
      </c>
      <c r="B1185" s="1854" t="s">
        <v>16</v>
      </c>
      <c r="C1185" s="0" t="s">
        <v>4680</v>
      </c>
      <c r="D1185" s="0" t="s">
        <v>4681</v>
      </c>
      <c r="E1185" s="0" t="s">
        <v>4682</v>
      </c>
      <c r="F1185" s="0" t="s">
        <v>4683</v>
      </c>
      <c r="G1185" s="0" t="s">
        <v>22</v>
      </c>
      <c r="H1185" s="0" t="s">
        <v>22</v>
      </c>
      <c r="I1185" s="0" t="s">
        <v>881</v>
      </c>
    </row>
    <row customHeight="1" ht="11.25">
      <c r="A1186" s="1854" t="s">
        <v>2291</v>
      </c>
      <c r="B1186" s="1854" t="s">
        <v>16</v>
      </c>
      <c r="C1186" s="0" t="s">
        <v>4331</v>
      </c>
      <c r="D1186" s="0" t="s">
        <v>4332</v>
      </c>
      <c r="E1186" s="0" t="s">
        <v>4333</v>
      </c>
      <c r="F1186" s="0" t="s">
        <v>4334</v>
      </c>
      <c r="G1186" s="0" t="s">
        <v>22</v>
      </c>
      <c r="H1186" s="0" t="s">
        <v>22</v>
      </c>
      <c r="I1186" s="0" t="s">
        <v>881</v>
      </c>
    </row>
    <row customHeight="1" ht="11.25">
      <c r="A1187" s="1854" t="s">
        <v>2291</v>
      </c>
      <c r="B1187" s="1854" t="s">
        <v>16</v>
      </c>
      <c r="C1187" s="0" t="s">
        <v>2292</v>
      </c>
      <c r="D1187" s="0" t="s">
        <v>2293</v>
      </c>
      <c r="E1187" s="0" t="s">
        <v>2294</v>
      </c>
      <c r="F1187" s="0" t="s">
        <v>2295</v>
      </c>
      <c r="G1187" s="0" t="s">
        <v>2296</v>
      </c>
      <c r="H1187" s="0" t="s">
        <v>22</v>
      </c>
      <c r="I1187" s="0" t="s">
        <v>934</v>
      </c>
    </row>
    <row customHeight="1" ht="11.25">
      <c r="A1188" s="1854" t="s">
        <v>2291</v>
      </c>
      <c r="B1188" s="1854" t="s">
        <v>16</v>
      </c>
      <c r="C1188" s="0" t="s">
        <v>4344</v>
      </c>
      <c r="D1188" s="0" t="s">
        <v>4345</v>
      </c>
      <c r="E1188" s="0" t="s">
        <v>4346</v>
      </c>
      <c r="F1188" s="0" t="s">
        <v>2359</v>
      </c>
      <c r="G1188" s="0" t="s">
        <v>22</v>
      </c>
      <c r="H1188" s="0" t="s">
        <v>22</v>
      </c>
      <c r="I1188" s="0" t="s">
        <v>934</v>
      </c>
    </row>
    <row customHeight="1" ht="11.25">
      <c r="A1189" s="1854" t="s">
        <v>2291</v>
      </c>
      <c r="B1189" s="1854" t="s">
        <v>16</v>
      </c>
      <c r="C1189" s="0" t="s">
        <v>2301</v>
      </c>
      <c r="D1189" s="0" t="s">
        <v>2302</v>
      </c>
      <c r="E1189" s="0" t="s">
        <v>2303</v>
      </c>
      <c r="F1189" s="0" t="s">
        <v>2304</v>
      </c>
      <c r="G1189" s="0" t="s">
        <v>2305</v>
      </c>
      <c r="H1189" s="0" t="s">
        <v>22</v>
      </c>
      <c r="I1189" s="0" t="s">
        <v>934</v>
      </c>
    </row>
    <row customHeight="1" ht="11.25">
      <c r="A1190" s="1854" t="s">
        <v>2291</v>
      </c>
      <c r="B1190" s="1854" t="s">
        <v>16</v>
      </c>
      <c r="C1190" s="0" t="s">
        <v>2319</v>
      </c>
      <c r="D1190" s="0" t="s">
        <v>2320</v>
      </c>
      <c r="E1190" s="0" t="s">
        <v>2321</v>
      </c>
      <c r="F1190" s="0" t="s">
        <v>2322</v>
      </c>
      <c r="G1190" s="0" t="s">
        <v>2323</v>
      </c>
      <c r="H1190" s="0" t="s">
        <v>22</v>
      </c>
      <c r="I1190" s="0" t="s">
        <v>934</v>
      </c>
    </row>
    <row customHeight="1" ht="11.25">
      <c r="A1191" s="1854" t="s">
        <v>2291</v>
      </c>
      <c r="B1191" s="1854" t="s">
        <v>16</v>
      </c>
      <c r="C1191" s="0" t="s">
        <v>2324</v>
      </c>
      <c r="D1191" s="0" t="s">
        <v>2325</v>
      </c>
      <c r="E1191" s="0" t="s">
        <v>2326</v>
      </c>
      <c r="F1191" s="0" t="s">
        <v>2327</v>
      </c>
      <c r="G1191" s="0" t="s">
        <v>22</v>
      </c>
      <c r="H1191" s="0" t="s">
        <v>22</v>
      </c>
      <c r="I1191" s="0" t="s">
        <v>934</v>
      </c>
    </row>
    <row customHeight="1" ht="11.25">
      <c r="A1192" s="1854" t="s">
        <v>2291</v>
      </c>
      <c r="B1192" s="1854" t="s">
        <v>16</v>
      </c>
      <c r="C1192" s="0" t="s">
        <v>2328</v>
      </c>
      <c r="D1192" s="0" t="s">
        <v>2329</v>
      </c>
      <c r="E1192" s="0" t="s">
        <v>2330</v>
      </c>
      <c r="F1192" s="0" t="s">
        <v>2331</v>
      </c>
      <c r="G1192" s="0" t="s">
        <v>22</v>
      </c>
      <c r="H1192" s="0" t="s">
        <v>22</v>
      </c>
      <c r="I1192" s="0" t="s">
        <v>934</v>
      </c>
    </row>
    <row customHeight="1" ht="11.25">
      <c r="A1193" s="1854" t="s">
        <v>2291</v>
      </c>
      <c r="B1193" s="1854" t="s">
        <v>16</v>
      </c>
      <c r="C1193" s="0" t="s">
        <v>2348</v>
      </c>
      <c r="D1193" s="0" t="s">
        <v>2349</v>
      </c>
      <c r="E1193" s="0" t="s">
        <v>2350</v>
      </c>
      <c r="F1193" s="0" t="s">
        <v>2351</v>
      </c>
      <c r="G1193" s="0" t="s">
        <v>22</v>
      </c>
      <c r="H1193" s="0" t="s">
        <v>22</v>
      </c>
      <c r="I1193" s="0" t="s">
        <v>934</v>
      </c>
    </row>
    <row customHeight="1" ht="11.25">
      <c r="A1194" s="1854" t="s">
        <v>2291</v>
      </c>
      <c r="B1194" s="1854" t="s">
        <v>16</v>
      </c>
      <c r="C1194" s="0" t="s">
        <v>2356</v>
      </c>
      <c r="D1194" s="0" t="s">
        <v>2357</v>
      </c>
      <c r="E1194" s="0" t="s">
        <v>2358</v>
      </c>
      <c r="F1194" s="0" t="s">
        <v>2359</v>
      </c>
      <c r="G1194" s="0" t="s">
        <v>22</v>
      </c>
      <c r="H1194" s="0" t="s">
        <v>22</v>
      </c>
      <c r="I1194" s="0" t="s">
        <v>934</v>
      </c>
    </row>
    <row customHeight="1" ht="11.25">
      <c r="A1195" s="1854" t="s">
        <v>2291</v>
      </c>
      <c r="B1195" s="1854" t="s">
        <v>16</v>
      </c>
      <c r="C1195" s="0" t="s">
        <v>2367</v>
      </c>
      <c r="D1195" s="0" t="s">
        <v>2368</v>
      </c>
      <c r="E1195" s="0" t="s">
        <v>2365</v>
      </c>
      <c r="F1195" s="0" t="s">
        <v>2369</v>
      </c>
      <c r="G1195" s="0" t="s">
        <v>2370</v>
      </c>
      <c r="H1195" s="0" t="s">
        <v>22</v>
      </c>
      <c r="I1195" s="0" t="s">
        <v>934</v>
      </c>
    </row>
    <row customHeight="1" ht="11.25">
      <c r="A1196" s="1854" t="s">
        <v>2291</v>
      </c>
      <c r="B1196" s="1854" t="s">
        <v>16</v>
      </c>
      <c r="C1196" s="0" t="s">
        <v>2374</v>
      </c>
      <c r="D1196" s="0" t="s">
        <v>2375</v>
      </c>
      <c r="E1196" s="0" t="s">
        <v>2376</v>
      </c>
      <c r="F1196" s="0" t="s">
        <v>2377</v>
      </c>
      <c r="G1196" s="0" t="s">
        <v>2378</v>
      </c>
      <c r="H1196" s="0" t="s">
        <v>22</v>
      </c>
      <c r="I1196" s="0" t="s">
        <v>934</v>
      </c>
    </row>
    <row customHeight="1" ht="11.25">
      <c r="A1197" s="1854" t="s">
        <v>2291</v>
      </c>
      <c r="B1197" s="1854" t="s">
        <v>16</v>
      </c>
      <c r="C1197" s="0" t="s">
        <v>2382</v>
      </c>
      <c r="D1197" s="0" t="s">
        <v>2383</v>
      </c>
      <c r="E1197" s="0" t="s">
        <v>2384</v>
      </c>
      <c r="F1197" s="0" t="s">
        <v>2313</v>
      </c>
      <c r="G1197" s="0" t="s">
        <v>2385</v>
      </c>
      <c r="H1197" s="0" t="s">
        <v>22</v>
      </c>
      <c r="I1197" s="0" t="s">
        <v>934</v>
      </c>
    </row>
    <row customHeight="1" ht="11.25">
      <c r="A1198" s="1854" t="s">
        <v>2291</v>
      </c>
      <c r="B1198" s="1854" t="s">
        <v>16</v>
      </c>
      <c r="C1198" s="0" t="s">
        <v>2390</v>
      </c>
      <c r="D1198" s="0" t="s">
        <v>2391</v>
      </c>
      <c r="E1198" s="0" t="s">
        <v>2392</v>
      </c>
      <c r="F1198" s="0" t="s">
        <v>2393</v>
      </c>
      <c r="G1198" s="0" t="s">
        <v>2394</v>
      </c>
      <c r="H1198" s="0" t="s">
        <v>22</v>
      </c>
      <c r="I1198" s="0" t="s">
        <v>934</v>
      </c>
    </row>
    <row customHeight="1" ht="11.25">
      <c r="A1199" s="1854" t="s">
        <v>2291</v>
      </c>
      <c r="B1199" s="1854" t="s">
        <v>16</v>
      </c>
      <c r="C1199" s="0" t="s">
        <v>2402</v>
      </c>
      <c r="D1199" s="0" t="s">
        <v>2403</v>
      </c>
      <c r="E1199" s="0" t="s">
        <v>2404</v>
      </c>
      <c r="F1199" s="0" t="s">
        <v>2405</v>
      </c>
      <c r="G1199" s="0" t="s">
        <v>2406</v>
      </c>
      <c r="H1199" s="0" t="s">
        <v>22</v>
      </c>
      <c r="I1199" s="0" t="s">
        <v>934</v>
      </c>
    </row>
    <row customHeight="1" ht="11.25">
      <c r="A1200" s="1854" t="s">
        <v>2291</v>
      </c>
      <c r="B1200" s="1854" t="s">
        <v>16</v>
      </c>
      <c r="C1200" s="0" t="s">
        <v>2407</v>
      </c>
      <c r="D1200" s="0" t="s">
        <v>2408</v>
      </c>
      <c r="E1200" s="0" t="s">
        <v>2409</v>
      </c>
      <c r="F1200" s="0" t="s">
        <v>2295</v>
      </c>
      <c r="G1200" s="0" t="s">
        <v>22</v>
      </c>
      <c r="H1200" s="0" t="s">
        <v>22</v>
      </c>
      <c r="I1200" s="0" t="s">
        <v>934</v>
      </c>
    </row>
    <row customHeight="1" ht="11.25">
      <c r="A1201" s="1854" t="s">
        <v>2291</v>
      </c>
      <c r="B1201" s="1854" t="s">
        <v>16</v>
      </c>
      <c r="C1201" s="0" t="s">
        <v>2417</v>
      </c>
      <c r="D1201" s="0" t="s">
        <v>2418</v>
      </c>
      <c r="E1201" s="0" t="s">
        <v>2419</v>
      </c>
      <c r="F1201" s="0" t="s">
        <v>2420</v>
      </c>
      <c r="G1201" s="0" t="s">
        <v>2421</v>
      </c>
      <c r="H1201" s="0" t="s">
        <v>22</v>
      </c>
      <c r="I1201" s="0" t="s">
        <v>934</v>
      </c>
    </row>
    <row customHeight="1" ht="11.25">
      <c r="A1202" s="1854" t="s">
        <v>2291</v>
      </c>
      <c r="B1202" s="1854" t="s">
        <v>16</v>
      </c>
      <c r="C1202" s="0" t="s">
        <v>4354</v>
      </c>
      <c r="D1202" s="0" t="s">
        <v>4355</v>
      </c>
      <c r="E1202" s="0" t="s">
        <v>4356</v>
      </c>
      <c r="F1202" s="0" t="s">
        <v>2632</v>
      </c>
      <c r="G1202" s="0" t="s">
        <v>22</v>
      </c>
      <c r="H1202" s="0" t="s">
        <v>22</v>
      </c>
      <c r="I1202" s="0" t="s">
        <v>934</v>
      </c>
    </row>
    <row customHeight="1" ht="11.25">
      <c r="A1203" s="1854" t="s">
        <v>2291</v>
      </c>
      <c r="B1203" s="1854" t="s">
        <v>16</v>
      </c>
      <c r="C1203" s="0" t="s">
        <v>4357</v>
      </c>
      <c r="D1203" s="0" t="s">
        <v>4358</v>
      </c>
      <c r="E1203" s="0" t="s">
        <v>4359</v>
      </c>
      <c r="F1203" s="0" t="s">
        <v>2420</v>
      </c>
      <c r="G1203" s="0" t="s">
        <v>4360</v>
      </c>
      <c r="H1203" s="0" t="s">
        <v>22</v>
      </c>
      <c r="I1203" s="0" t="s">
        <v>934</v>
      </c>
    </row>
    <row customHeight="1" ht="11.25">
      <c r="A1204" s="1854" t="s">
        <v>2291</v>
      </c>
      <c r="B1204" s="1854" t="s">
        <v>16</v>
      </c>
      <c r="C1204" s="0" t="s">
        <v>2452</v>
      </c>
      <c r="D1204" s="0" t="s">
        <v>2453</v>
      </c>
      <c r="E1204" s="0" t="s">
        <v>2454</v>
      </c>
      <c r="F1204" s="0" t="s">
        <v>2416</v>
      </c>
      <c r="G1204" s="0" t="s">
        <v>2455</v>
      </c>
      <c r="H1204" s="0" t="s">
        <v>22</v>
      </c>
      <c r="I1204" s="0" t="s">
        <v>934</v>
      </c>
    </row>
    <row customHeight="1" ht="11.25">
      <c r="A1205" s="1854" t="s">
        <v>2291</v>
      </c>
      <c r="B1205" s="1854" t="s">
        <v>16</v>
      </c>
      <c r="C1205" s="0" t="s">
        <v>2456</v>
      </c>
      <c r="D1205" s="0" t="s">
        <v>2457</v>
      </c>
      <c r="E1205" s="0" t="s">
        <v>2458</v>
      </c>
      <c r="F1205" s="0" t="s">
        <v>2405</v>
      </c>
      <c r="G1205" s="0" t="s">
        <v>2459</v>
      </c>
      <c r="H1205" s="0" t="s">
        <v>22</v>
      </c>
      <c r="I1205" s="0" t="s">
        <v>934</v>
      </c>
    </row>
    <row customHeight="1" ht="11.25">
      <c r="A1206" s="1854" t="s">
        <v>2291</v>
      </c>
      <c r="B1206" s="1854" t="s">
        <v>16</v>
      </c>
      <c r="C1206" s="0" t="s">
        <v>2460</v>
      </c>
      <c r="D1206" s="0" t="s">
        <v>2461</v>
      </c>
      <c r="E1206" s="0" t="s">
        <v>2317</v>
      </c>
      <c r="F1206" s="0" t="s">
        <v>2462</v>
      </c>
      <c r="G1206" s="0" t="s">
        <v>2463</v>
      </c>
      <c r="H1206" s="0" t="s">
        <v>22</v>
      </c>
      <c r="I1206" s="0" t="s">
        <v>934</v>
      </c>
    </row>
    <row customHeight="1" ht="11.25">
      <c r="A1207" s="1854" t="s">
        <v>2291</v>
      </c>
      <c r="B1207" s="1854" t="s">
        <v>16</v>
      </c>
      <c r="C1207" s="0" t="s">
        <v>4361</v>
      </c>
      <c r="D1207" s="0" t="s">
        <v>4362</v>
      </c>
      <c r="E1207" s="0" t="s">
        <v>4363</v>
      </c>
      <c r="F1207" s="0" t="s">
        <v>2632</v>
      </c>
      <c r="G1207" s="0" t="s">
        <v>4364</v>
      </c>
      <c r="H1207" s="0" t="s">
        <v>22</v>
      </c>
      <c r="I1207" s="0" t="s">
        <v>934</v>
      </c>
    </row>
    <row customHeight="1" ht="11.25">
      <c r="A1208" s="1854" t="s">
        <v>2291</v>
      </c>
      <c r="B1208" s="1854" t="s">
        <v>16</v>
      </c>
      <c r="C1208" s="0" t="s">
        <v>2469</v>
      </c>
      <c r="D1208" s="0" t="s">
        <v>2470</v>
      </c>
      <c r="E1208" s="0" t="s">
        <v>2471</v>
      </c>
      <c r="F1208" s="0" t="s">
        <v>2467</v>
      </c>
      <c r="G1208" s="0" t="s">
        <v>2472</v>
      </c>
      <c r="H1208" s="0" t="s">
        <v>22</v>
      </c>
      <c r="I1208" s="0" t="s">
        <v>934</v>
      </c>
    </row>
    <row customHeight="1" ht="11.25">
      <c r="A1209" s="1854" t="s">
        <v>2291</v>
      </c>
      <c r="B1209" s="1854" t="s">
        <v>16</v>
      </c>
      <c r="C1209" s="0" t="s">
        <v>2473</v>
      </c>
      <c r="D1209" s="0" t="s">
        <v>2474</v>
      </c>
      <c r="E1209" s="0" t="s">
        <v>2475</v>
      </c>
      <c r="F1209" s="0" t="s">
        <v>2476</v>
      </c>
      <c r="G1209" s="0" t="s">
        <v>22</v>
      </c>
      <c r="H1209" s="0" t="s">
        <v>22</v>
      </c>
      <c r="I1209" s="0" t="s">
        <v>934</v>
      </c>
    </row>
    <row customHeight="1" ht="11.25">
      <c r="A1210" s="1854" t="s">
        <v>2291</v>
      </c>
      <c r="B1210" s="1854" t="s">
        <v>16</v>
      </c>
      <c r="C1210" s="0" t="s">
        <v>2487</v>
      </c>
      <c r="D1210" s="0" t="s">
        <v>2488</v>
      </c>
      <c r="E1210" s="0" t="s">
        <v>2489</v>
      </c>
      <c r="F1210" s="0" t="s">
        <v>2393</v>
      </c>
      <c r="G1210" s="0" t="s">
        <v>2490</v>
      </c>
      <c r="H1210" s="0" t="s">
        <v>22</v>
      </c>
      <c r="I1210" s="0" t="s">
        <v>934</v>
      </c>
    </row>
    <row customHeight="1" ht="11.25">
      <c r="A1211" s="1854" t="s">
        <v>2291</v>
      </c>
      <c r="B1211" s="1854" t="s">
        <v>16</v>
      </c>
      <c r="C1211" s="0" t="s">
        <v>2506</v>
      </c>
      <c r="D1211" s="0" t="s">
        <v>2507</v>
      </c>
      <c r="E1211" s="0" t="s">
        <v>2489</v>
      </c>
      <c r="F1211" s="0" t="s">
        <v>2508</v>
      </c>
      <c r="G1211" s="0" t="s">
        <v>22</v>
      </c>
      <c r="H1211" s="0" t="s">
        <v>22</v>
      </c>
      <c r="I1211" s="0" t="s">
        <v>934</v>
      </c>
    </row>
    <row customHeight="1" ht="11.25">
      <c r="A1212" s="1854" t="s">
        <v>2291</v>
      </c>
      <c r="B1212" s="1854" t="s">
        <v>16</v>
      </c>
      <c r="C1212" s="0" t="s">
        <v>2509</v>
      </c>
      <c r="D1212" s="0" t="s">
        <v>2510</v>
      </c>
      <c r="E1212" s="0" t="s">
        <v>2489</v>
      </c>
      <c r="F1212" s="0" t="s">
        <v>2511</v>
      </c>
      <c r="G1212" s="0" t="s">
        <v>22</v>
      </c>
      <c r="H1212" s="0" t="s">
        <v>22</v>
      </c>
      <c r="I1212" s="0" t="s">
        <v>934</v>
      </c>
    </row>
    <row customHeight="1" ht="11.25">
      <c r="A1213" s="1854" t="s">
        <v>2291</v>
      </c>
      <c r="B1213" s="1854" t="s">
        <v>16</v>
      </c>
      <c r="C1213" s="0" t="s">
        <v>2515</v>
      </c>
      <c r="D1213" s="0" t="s">
        <v>2516</v>
      </c>
      <c r="E1213" s="0" t="s">
        <v>2489</v>
      </c>
      <c r="F1213" s="0" t="s">
        <v>2517</v>
      </c>
      <c r="G1213" s="0" t="s">
        <v>22</v>
      </c>
      <c r="H1213" s="0" t="s">
        <v>22</v>
      </c>
      <c r="I1213" s="0" t="s">
        <v>934</v>
      </c>
    </row>
    <row customHeight="1" ht="11.25">
      <c r="A1214" s="1854" t="s">
        <v>2291</v>
      </c>
      <c r="B1214" s="1854" t="s">
        <v>16</v>
      </c>
      <c r="C1214" s="0" t="s">
        <v>2530</v>
      </c>
      <c r="D1214" s="0" t="s">
        <v>2531</v>
      </c>
      <c r="E1214" s="0" t="s">
        <v>2532</v>
      </c>
      <c r="F1214" s="0" t="s">
        <v>2313</v>
      </c>
      <c r="G1214" s="0" t="s">
        <v>2533</v>
      </c>
      <c r="H1214" s="0" t="s">
        <v>2534</v>
      </c>
      <c r="I1214" s="0" t="s">
        <v>934</v>
      </c>
    </row>
    <row customHeight="1" ht="11.25">
      <c r="A1215" s="1854" t="s">
        <v>2291</v>
      </c>
      <c r="B1215" s="1854" t="s">
        <v>16</v>
      </c>
      <c r="C1215" s="0" t="s">
        <v>2535</v>
      </c>
      <c r="D1215" s="0" t="s">
        <v>2536</v>
      </c>
      <c r="E1215" s="0" t="s">
        <v>2537</v>
      </c>
      <c r="F1215" s="0" t="s">
        <v>2405</v>
      </c>
      <c r="G1215" s="0" t="s">
        <v>2538</v>
      </c>
      <c r="H1215" s="0" t="s">
        <v>22</v>
      </c>
      <c r="I1215" s="0" t="s">
        <v>934</v>
      </c>
    </row>
    <row customHeight="1" ht="11.25">
      <c r="A1216" s="1854" t="s">
        <v>2291</v>
      </c>
      <c r="B1216" s="1854" t="s">
        <v>16</v>
      </c>
      <c r="C1216" s="0" t="s">
        <v>4684</v>
      </c>
      <c r="D1216" s="0" t="s">
        <v>4685</v>
      </c>
      <c r="E1216" s="0" t="s">
        <v>4686</v>
      </c>
      <c r="F1216" s="0" t="s">
        <v>2405</v>
      </c>
      <c r="G1216" s="0" t="s">
        <v>4687</v>
      </c>
      <c r="H1216" s="0" t="s">
        <v>22</v>
      </c>
      <c r="I1216" s="0" t="s">
        <v>934</v>
      </c>
    </row>
    <row customHeight="1" ht="11.25">
      <c r="A1217" s="1854" t="s">
        <v>2291</v>
      </c>
      <c r="B1217" s="1854" t="s">
        <v>16</v>
      </c>
      <c r="C1217" s="0" t="s">
        <v>4365</v>
      </c>
      <c r="D1217" s="0" t="s">
        <v>4366</v>
      </c>
      <c r="E1217" s="0" t="s">
        <v>4367</v>
      </c>
      <c r="F1217" s="0" t="s">
        <v>2295</v>
      </c>
      <c r="G1217" s="0" t="s">
        <v>4368</v>
      </c>
      <c r="H1217" s="0" t="s">
        <v>22</v>
      </c>
      <c r="I1217" s="0" t="s">
        <v>934</v>
      </c>
    </row>
    <row customHeight="1" ht="11.25">
      <c r="A1218" s="1854" t="s">
        <v>2291</v>
      </c>
      <c r="B1218" s="1854" t="s">
        <v>16</v>
      </c>
      <c r="C1218" s="0" t="s">
        <v>2542</v>
      </c>
      <c r="D1218" s="0" t="s">
        <v>2543</v>
      </c>
      <c r="E1218" s="0" t="s">
        <v>2544</v>
      </c>
      <c r="F1218" s="0" t="s">
        <v>2295</v>
      </c>
      <c r="G1218" s="0" t="s">
        <v>22</v>
      </c>
      <c r="H1218" s="0" t="s">
        <v>22</v>
      </c>
      <c r="I1218" s="0" t="s">
        <v>934</v>
      </c>
    </row>
    <row customHeight="1" ht="11.25">
      <c r="A1219" s="1854" t="s">
        <v>2291</v>
      </c>
      <c r="B1219" s="1854" t="s">
        <v>16</v>
      </c>
      <c r="C1219" s="0" t="s">
        <v>2545</v>
      </c>
      <c r="D1219" s="0" t="s">
        <v>2546</v>
      </c>
      <c r="E1219" s="0" t="s">
        <v>2547</v>
      </c>
      <c r="F1219" s="0" t="s">
        <v>2313</v>
      </c>
      <c r="G1219" s="0" t="s">
        <v>2548</v>
      </c>
      <c r="H1219" s="0" t="s">
        <v>22</v>
      </c>
      <c r="I1219" s="0" t="s">
        <v>934</v>
      </c>
    </row>
    <row customHeight="1" ht="11.25">
      <c r="A1220" s="1854" t="s">
        <v>2291</v>
      </c>
      <c r="B1220" s="1854" t="s">
        <v>16</v>
      </c>
      <c r="C1220" s="0" t="s">
        <v>2609</v>
      </c>
      <c r="D1220" s="0" t="s">
        <v>2610</v>
      </c>
      <c r="E1220" s="0" t="s">
        <v>2611</v>
      </c>
      <c r="F1220" s="0" t="s">
        <v>2401</v>
      </c>
      <c r="G1220" s="0" t="s">
        <v>22</v>
      </c>
      <c r="H1220" s="0" t="s">
        <v>22</v>
      </c>
      <c r="I1220" s="0" t="s">
        <v>934</v>
      </c>
    </row>
    <row customHeight="1" ht="11.25">
      <c r="A1221" s="1854" t="s">
        <v>2291</v>
      </c>
      <c r="B1221" s="1854" t="s">
        <v>16</v>
      </c>
      <c r="C1221" s="0" t="s">
        <v>2612</v>
      </c>
      <c r="D1221" s="0" t="s">
        <v>2613</v>
      </c>
      <c r="E1221" s="0" t="s">
        <v>2614</v>
      </c>
      <c r="F1221" s="0" t="s">
        <v>2393</v>
      </c>
      <c r="G1221" s="0" t="s">
        <v>22</v>
      </c>
      <c r="H1221" s="0" t="s">
        <v>22</v>
      </c>
      <c r="I1221" s="0" t="s">
        <v>934</v>
      </c>
    </row>
    <row customHeight="1" ht="11.25">
      <c r="A1222" s="1854" t="s">
        <v>2291</v>
      </c>
      <c r="B1222" s="1854" t="s">
        <v>16</v>
      </c>
      <c r="C1222" s="0" t="s">
        <v>2622</v>
      </c>
      <c r="D1222" s="0" t="s">
        <v>2623</v>
      </c>
      <c r="E1222" s="0" t="s">
        <v>2624</v>
      </c>
      <c r="F1222" s="0" t="s">
        <v>2405</v>
      </c>
      <c r="G1222" s="0" t="s">
        <v>2625</v>
      </c>
      <c r="H1222" s="0" t="s">
        <v>2534</v>
      </c>
      <c r="I1222" s="0" t="s">
        <v>934</v>
      </c>
    </row>
    <row customHeight="1" ht="11.25">
      <c r="A1223" s="1854" t="s">
        <v>2291</v>
      </c>
      <c r="B1223" s="1854" t="s">
        <v>16</v>
      </c>
      <c r="C1223" s="0" t="s">
        <v>4369</v>
      </c>
      <c r="D1223" s="0" t="s">
        <v>4370</v>
      </c>
      <c r="E1223" s="0" t="s">
        <v>4371</v>
      </c>
      <c r="F1223" s="0" t="s">
        <v>2632</v>
      </c>
      <c r="G1223" s="0" t="s">
        <v>22</v>
      </c>
      <c r="H1223" s="0" t="s">
        <v>2534</v>
      </c>
      <c r="I1223" s="0" t="s">
        <v>934</v>
      </c>
    </row>
    <row customHeight="1" ht="11.25">
      <c r="A1224" s="1854" t="s">
        <v>2291</v>
      </c>
      <c r="B1224" s="1854" t="s">
        <v>16</v>
      </c>
      <c r="C1224" s="0" t="s">
        <v>2637</v>
      </c>
      <c r="D1224" s="0" t="s">
        <v>2638</v>
      </c>
      <c r="E1224" s="0" t="s">
        <v>2639</v>
      </c>
      <c r="F1224" s="0" t="s">
        <v>2640</v>
      </c>
      <c r="G1224" s="0" t="s">
        <v>2641</v>
      </c>
      <c r="H1224" s="0" t="s">
        <v>2642</v>
      </c>
      <c r="I1224" s="0" t="s">
        <v>934</v>
      </c>
    </row>
    <row customHeight="1" ht="11.25">
      <c r="A1225" s="1854" t="s">
        <v>2291</v>
      </c>
      <c r="B1225" s="1854" t="s">
        <v>16</v>
      </c>
      <c r="C1225" s="0" t="s">
        <v>2643</v>
      </c>
      <c r="D1225" s="0" t="s">
        <v>2644</v>
      </c>
      <c r="E1225" s="0" t="s">
        <v>2645</v>
      </c>
      <c r="F1225" s="0" t="s">
        <v>2405</v>
      </c>
      <c r="G1225" s="0" t="s">
        <v>2646</v>
      </c>
      <c r="H1225" s="0" t="s">
        <v>22</v>
      </c>
      <c r="I1225" s="0" t="s">
        <v>934</v>
      </c>
    </row>
    <row customHeight="1" ht="11.25">
      <c r="A1226" s="1854" t="s">
        <v>2291</v>
      </c>
      <c r="B1226" s="1854" t="s">
        <v>16</v>
      </c>
      <c r="C1226" s="0" t="s">
        <v>4688</v>
      </c>
      <c r="D1226" s="0" t="s">
        <v>4689</v>
      </c>
      <c r="E1226" s="0" t="s">
        <v>4690</v>
      </c>
      <c r="F1226" s="0" t="s">
        <v>2295</v>
      </c>
      <c r="G1226" s="0" t="s">
        <v>22</v>
      </c>
      <c r="H1226" s="0" t="s">
        <v>22</v>
      </c>
      <c r="I1226" s="0" t="s">
        <v>934</v>
      </c>
    </row>
    <row customHeight="1" ht="11.25">
      <c r="A1227" s="1854" t="s">
        <v>2291</v>
      </c>
      <c r="B1227" s="1854" t="s">
        <v>16</v>
      </c>
      <c r="C1227" s="0" t="s">
        <v>2666</v>
      </c>
      <c r="D1227" s="0" t="s">
        <v>2667</v>
      </c>
      <c r="E1227" s="0" t="s">
        <v>2668</v>
      </c>
      <c r="F1227" s="0" t="s">
        <v>2327</v>
      </c>
      <c r="G1227" s="0" t="s">
        <v>2669</v>
      </c>
      <c r="H1227" s="0" t="s">
        <v>22</v>
      </c>
      <c r="I1227" s="0" t="s">
        <v>934</v>
      </c>
    </row>
    <row customHeight="1" ht="11.25">
      <c r="A1228" s="1854" t="s">
        <v>2291</v>
      </c>
      <c r="B1228" s="1854" t="s">
        <v>16</v>
      </c>
      <c r="C1228" s="0" t="s">
        <v>2670</v>
      </c>
      <c r="D1228" s="0" t="s">
        <v>2671</v>
      </c>
      <c r="E1228" s="0" t="s">
        <v>2672</v>
      </c>
      <c r="F1228" s="0" t="s">
        <v>2295</v>
      </c>
      <c r="G1228" s="0" t="s">
        <v>22</v>
      </c>
      <c r="H1228" s="0" t="s">
        <v>22</v>
      </c>
      <c r="I1228" s="0" t="s">
        <v>934</v>
      </c>
    </row>
    <row customHeight="1" ht="11.25">
      <c r="A1229" s="1854" t="s">
        <v>2291</v>
      </c>
      <c r="B1229" s="1854" t="s">
        <v>16</v>
      </c>
      <c r="C1229" s="0" t="s">
        <v>2679</v>
      </c>
      <c r="D1229" s="0" t="s">
        <v>2680</v>
      </c>
      <c r="E1229" s="0" t="s">
        <v>2681</v>
      </c>
      <c r="F1229" s="0" t="s">
        <v>2416</v>
      </c>
      <c r="G1229" s="0" t="s">
        <v>22</v>
      </c>
      <c r="H1229" s="0" t="s">
        <v>22</v>
      </c>
      <c r="I1229" s="0" t="s">
        <v>934</v>
      </c>
    </row>
    <row customHeight="1" ht="11.25">
      <c r="A1230" s="1854" t="s">
        <v>2291</v>
      </c>
      <c r="B1230" s="1854" t="s">
        <v>16</v>
      </c>
      <c r="C1230" s="0" t="s">
        <v>2682</v>
      </c>
      <c r="D1230" s="0" t="s">
        <v>2683</v>
      </c>
      <c r="E1230" s="0" t="s">
        <v>2684</v>
      </c>
      <c r="F1230" s="0" t="s">
        <v>2389</v>
      </c>
      <c r="G1230" s="0" t="s">
        <v>22</v>
      </c>
      <c r="H1230" s="0" t="s">
        <v>22</v>
      </c>
      <c r="I1230" s="0" t="s">
        <v>934</v>
      </c>
    </row>
    <row customHeight="1" ht="11.25">
      <c r="A1231" s="1854" t="s">
        <v>2291</v>
      </c>
      <c r="B1231" s="1854" t="s">
        <v>16</v>
      </c>
      <c r="C1231" s="0" t="s">
        <v>2685</v>
      </c>
      <c r="D1231" s="0" t="s">
        <v>2686</v>
      </c>
      <c r="E1231" s="0" t="s">
        <v>2687</v>
      </c>
      <c r="F1231" s="0" t="s">
        <v>2688</v>
      </c>
      <c r="G1231" s="0" t="s">
        <v>2689</v>
      </c>
      <c r="H1231" s="0" t="s">
        <v>22</v>
      </c>
      <c r="I1231" s="0" t="s">
        <v>934</v>
      </c>
    </row>
    <row customHeight="1" ht="11.25">
      <c r="A1232" s="1854" t="s">
        <v>2291</v>
      </c>
      <c r="B1232" s="1854" t="s">
        <v>16</v>
      </c>
      <c r="C1232" s="0" t="s">
        <v>2693</v>
      </c>
      <c r="D1232" s="0" t="s">
        <v>2694</v>
      </c>
      <c r="E1232" s="0" t="s">
        <v>2695</v>
      </c>
      <c r="F1232" s="0" t="s">
        <v>2696</v>
      </c>
      <c r="G1232" s="0" t="s">
        <v>22</v>
      </c>
      <c r="H1232" s="0" t="s">
        <v>22</v>
      </c>
      <c r="I1232" s="0" t="s">
        <v>934</v>
      </c>
    </row>
    <row customHeight="1" ht="11.25">
      <c r="A1233" s="1854" t="s">
        <v>2291</v>
      </c>
      <c r="B1233" s="1854" t="s">
        <v>16</v>
      </c>
      <c r="C1233" s="0" t="s">
        <v>2697</v>
      </c>
      <c r="D1233" s="0" t="s">
        <v>2698</v>
      </c>
      <c r="E1233" s="0" t="s">
        <v>2695</v>
      </c>
      <c r="F1233" s="0" t="s">
        <v>2416</v>
      </c>
      <c r="G1233" s="0" t="s">
        <v>2548</v>
      </c>
      <c r="H1233" s="0" t="s">
        <v>22</v>
      </c>
      <c r="I1233" s="0" t="s">
        <v>934</v>
      </c>
    </row>
    <row customHeight="1" ht="11.25">
      <c r="A1234" s="1854" t="s">
        <v>2291</v>
      </c>
      <c r="B1234" s="1854" t="s">
        <v>16</v>
      </c>
      <c r="C1234" s="0" t="s">
        <v>2703</v>
      </c>
      <c r="D1234" s="0" t="s">
        <v>2704</v>
      </c>
      <c r="E1234" s="0" t="s">
        <v>2705</v>
      </c>
      <c r="F1234" s="0" t="s">
        <v>2351</v>
      </c>
      <c r="G1234" s="0" t="s">
        <v>2706</v>
      </c>
      <c r="H1234" s="0" t="s">
        <v>22</v>
      </c>
      <c r="I1234" s="0" t="s">
        <v>934</v>
      </c>
    </row>
    <row customHeight="1" ht="11.25">
      <c r="A1235" s="1854" t="s">
        <v>2291</v>
      </c>
      <c r="B1235" s="1854" t="s">
        <v>16</v>
      </c>
      <c r="C1235" s="0" t="s">
        <v>4691</v>
      </c>
      <c r="D1235" s="0" t="s">
        <v>4692</v>
      </c>
      <c r="E1235" s="0" t="s">
        <v>4693</v>
      </c>
      <c r="F1235" s="0" t="s">
        <v>4009</v>
      </c>
      <c r="G1235" s="0" t="s">
        <v>22</v>
      </c>
      <c r="H1235" s="0" t="s">
        <v>22</v>
      </c>
      <c r="I1235" s="0" t="s">
        <v>934</v>
      </c>
    </row>
    <row customHeight="1" ht="11.25">
      <c r="A1236" s="1854" t="s">
        <v>2291</v>
      </c>
      <c r="B1236" s="1854" t="s">
        <v>16</v>
      </c>
      <c r="C1236" s="0" t="s">
        <v>2734</v>
      </c>
      <c r="D1236" s="0" t="s">
        <v>2735</v>
      </c>
      <c r="E1236" s="0" t="s">
        <v>2736</v>
      </c>
      <c r="F1236" s="0" t="s">
        <v>2640</v>
      </c>
      <c r="G1236" s="0" t="s">
        <v>22</v>
      </c>
      <c r="H1236" s="0" t="s">
        <v>22</v>
      </c>
      <c r="I1236" s="0" t="s">
        <v>934</v>
      </c>
    </row>
    <row customHeight="1" ht="11.25">
      <c r="A1237" s="1854" t="s">
        <v>2291</v>
      </c>
      <c r="B1237" s="1854" t="s">
        <v>16</v>
      </c>
      <c r="C1237" s="0" t="s">
        <v>2740</v>
      </c>
      <c r="D1237" s="0" t="s">
        <v>2741</v>
      </c>
      <c r="E1237" s="0" t="s">
        <v>2742</v>
      </c>
      <c r="F1237" s="0" t="s">
        <v>2743</v>
      </c>
      <c r="G1237" s="0" t="s">
        <v>22</v>
      </c>
      <c r="H1237" s="0" t="s">
        <v>22</v>
      </c>
      <c r="I1237" s="0" t="s">
        <v>934</v>
      </c>
    </row>
    <row customHeight="1" ht="11.25">
      <c r="A1238" s="1854" t="s">
        <v>2291</v>
      </c>
      <c r="B1238" s="1854" t="s">
        <v>16</v>
      </c>
      <c r="C1238" s="0" t="s">
        <v>2754</v>
      </c>
      <c r="D1238" s="0" t="s">
        <v>2755</v>
      </c>
      <c r="E1238" s="0" t="s">
        <v>2756</v>
      </c>
      <c r="F1238" s="0" t="s">
        <v>2750</v>
      </c>
      <c r="G1238" s="0" t="s">
        <v>22</v>
      </c>
      <c r="H1238" s="0" t="s">
        <v>22</v>
      </c>
      <c r="I1238" s="0" t="s">
        <v>934</v>
      </c>
    </row>
    <row customHeight="1" ht="11.25">
      <c r="A1239" s="1854" t="s">
        <v>2291</v>
      </c>
      <c r="B1239" s="1854" t="s">
        <v>16</v>
      </c>
      <c r="C1239" s="0" t="s">
        <v>4694</v>
      </c>
      <c r="D1239" s="0" t="s">
        <v>4695</v>
      </c>
      <c r="E1239" s="0" t="s">
        <v>4696</v>
      </c>
      <c r="F1239" s="0" t="s">
        <v>2359</v>
      </c>
      <c r="G1239" s="0" t="s">
        <v>4697</v>
      </c>
      <c r="H1239" s="0" t="s">
        <v>22</v>
      </c>
      <c r="I1239" s="0" t="s">
        <v>934</v>
      </c>
    </row>
    <row customHeight="1" ht="11.25">
      <c r="A1240" s="1854" t="s">
        <v>2291</v>
      </c>
      <c r="B1240" s="1854" t="s">
        <v>16</v>
      </c>
      <c r="C1240" s="0" t="s">
        <v>2761</v>
      </c>
      <c r="D1240" s="0" t="s">
        <v>2762</v>
      </c>
      <c r="E1240" s="0" t="s">
        <v>2763</v>
      </c>
      <c r="F1240" s="0" t="s">
        <v>2405</v>
      </c>
      <c r="G1240" s="0" t="s">
        <v>22</v>
      </c>
      <c r="H1240" s="0" t="s">
        <v>22</v>
      </c>
      <c r="I1240" s="0" t="s">
        <v>934</v>
      </c>
    </row>
    <row customHeight="1" ht="11.25">
      <c r="A1241" s="1854" t="s">
        <v>2291</v>
      </c>
      <c r="B1241" s="1854" t="s">
        <v>16</v>
      </c>
      <c r="C1241" s="0" t="s">
        <v>2764</v>
      </c>
      <c r="D1241" s="0" t="s">
        <v>2765</v>
      </c>
      <c r="E1241" s="0" t="s">
        <v>2766</v>
      </c>
      <c r="F1241" s="0" t="s">
        <v>2295</v>
      </c>
      <c r="G1241" s="0" t="s">
        <v>2767</v>
      </c>
      <c r="H1241" s="0" t="s">
        <v>22</v>
      </c>
      <c r="I1241" s="0" t="s">
        <v>934</v>
      </c>
    </row>
    <row customHeight="1" ht="11.25">
      <c r="A1242" s="1854" t="s">
        <v>2291</v>
      </c>
      <c r="B1242" s="1854" t="s">
        <v>16</v>
      </c>
      <c r="C1242" s="0" t="s">
        <v>2775</v>
      </c>
      <c r="D1242" s="0" t="s">
        <v>2776</v>
      </c>
      <c r="E1242" s="0" t="s">
        <v>2777</v>
      </c>
      <c r="F1242" s="0" t="s">
        <v>2322</v>
      </c>
      <c r="G1242" s="0" t="s">
        <v>22</v>
      </c>
      <c r="H1242" s="0" t="s">
        <v>22</v>
      </c>
      <c r="I1242" s="0" t="s">
        <v>934</v>
      </c>
    </row>
    <row customHeight="1" ht="11.25">
      <c r="A1243" s="1854" t="s">
        <v>2291</v>
      </c>
      <c r="B1243" s="1854" t="s">
        <v>16</v>
      </c>
      <c r="C1243" s="0" t="s">
        <v>2793</v>
      </c>
      <c r="D1243" s="0" t="s">
        <v>2794</v>
      </c>
      <c r="E1243" s="0" t="s">
        <v>2795</v>
      </c>
      <c r="F1243" s="0" t="s">
        <v>2796</v>
      </c>
      <c r="G1243" s="0" t="s">
        <v>2797</v>
      </c>
      <c r="H1243" s="0" t="s">
        <v>22</v>
      </c>
      <c r="I1243" s="0" t="s">
        <v>934</v>
      </c>
    </row>
    <row customHeight="1" ht="11.25">
      <c r="A1244" s="1854" t="s">
        <v>2291</v>
      </c>
      <c r="B1244" s="1854" t="s">
        <v>16</v>
      </c>
      <c r="C1244" s="0" t="s">
        <v>2807</v>
      </c>
      <c r="D1244" s="0" t="s">
        <v>2808</v>
      </c>
      <c r="E1244" s="0" t="s">
        <v>2809</v>
      </c>
      <c r="F1244" s="0" t="s">
        <v>2359</v>
      </c>
      <c r="G1244" s="0" t="s">
        <v>22</v>
      </c>
      <c r="H1244" s="0" t="s">
        <v>22</v>
      </c>
      <c r="I1244" s="0" t="s">
        <v>934</v>
      </c>
    </row>
    <row customHeight="1" ht="11.25">
      <c r="A1245" s="1854" t="s">
        <v>2291</v>
      </c>
      <c r="B1245" s="1854" t="s">
        <v>16</v>
      </c>
      <c r="C1245" s="0" t="s">
        <v>4379</v>
      </c>
      <c r="D1245" s="0" t="s">
        <v>4380</v>
      </c>
      <c r="E1245" s="0" t="s">
        <v>4381</v>
      </c>
      <c r="F1245" s="0" t="s">
        <v>2389</v>
      </c>
      <c r="G1245" s="0" t="s">
        <v>4382</v>
      </c>
      <c r="H1245" s="0" t="s">
        <v>22</v>
      </c>
      <c r="I1245" s="0" t="s">
        <v>934</v>
      </c>
    </row>
    <row customHeight="1" ht="11.25">
      <c r="A1246" s="1854" t="s">
        <v>2291</v>
      </c>
      <c r="B1246" s="1854" t="s">
        <v>16</v>
      </c>
      <c r="C1246" s="0" t="s">
        <v>4698</v>
      </c>
      <c r="D1246" s="0" t="s">
        <v>4699</v>
      </c>
      <c r="E1246" s="0" t="s">
        <v>4700</v>
      </c>
      <c r="F1246" s="0" t="s">
        <v>3716</v>
      </c>
      <c r="G1246" s="0" t="s">
        <v>22</v>
      </c>
      <c r="H1246" s="0" t="s">
        <v>22</v>
      </c>
      <c r="I1246" s="0" t="s">
        <v>934</v>
      </c>
    </row>
    <row customHeight="1" ht="11.25">
      <c r="A1247" s="1854" t="s">
        <v>2291</v>
      </c>
      <c r="B1247" s="1854" t="s">
        <v>16</v>
      </c>
      <c r="C1247" s="0" t="s">
        <v>2827</v>
      </c>
      <c r="D1247" s="0" t="s">
        <v>2828</v>
      </c>
      <c r="E1247" s="0" t="s">
        <v>2829</v>
      </c>
      <c r="F1247" s="0" t="s">
        <v>2830</v>
      </c>
      <c r="G1247" s="0" t="s">
        <v>22</v>
      </c>
      <c r="H1247" s="0" t="s">
        <v>2831</v>
      </c>
      <c r="I1247" s="0" t="s">
        <v>934</v>
      </c>
    </row>
    <row customHeight="1" ht="11.25">
      <c r="A1248" s="1854" t="s">
        <v>2291</v>
      </c>
      <c r="B1248" s="1854" t="s">
        <v>16</v>
      </c>
      <c r="C1248" s="0" t="s">
        <v>2844</v>
      </c>
      <c r="D1248" s="0" t="s">
        <v>2845</v>
      </c>
      <c r="E1248" s="0" t="s">
        <v>2846</v>
      </c>
      <c r="F1248" s="0" t="s">
        <v>572</v>
      </c>
      <c r="G1248" s="0" t="s">
        <v>22</v>
      </c>
      <c r="H1248" s="0" t="s">
        <v>22</v>
      </c>
      <c r="I1248" s="0" t="s">
        <v>934</v>
      </c>
    </row>
    <row customHeight="1" ht="11.25">
      <c r="A1249" s="1854" t="s">
        <v>2291</v>
      </c>
      <c r="B1249" s="1854" t="s">
        <v>16</v>
      </c>
      <c r="C1249" s="0" t="s">
        <v>2890</v>
      </c>
      <c r="D1249" s="0" t="s">
        <v>2891</v>
      </c>
      <c r="E1249" s="0" t="s">
        <v>2892</v>
      </c>
      <c r="F1249" s="0" t="s">
        <v>2467</v>
      </c>
      <c r="G1249" s="0" t="s">
        <v>22</v>
      </c>
      <c r="H1249" s="0" t="s">
        <v>22</v>
      </c>
      <c r="I1249" s="0" t="s">
        <v>934</v>
      </c>
    </row>
    <row customHeight="1" ht="11.25">
      <c r="A1250" s="1854" t="s">
        <v>2291</v>
      </c>
      <c r="B1250" s="1854" t="s">
        <v>16</v>
      </c>
      <c r="C1250" s="0" t="s">
        <v>4701</v>
      </c>
      <c r="D1250" s="0" t="s">
        <v>4702</v>
      </c>
      <c r="E1250" s="0" t="s">
        <v>4703</v>
      </c>
      <c r="F1250" s="0" t="s">
        <v>2295</v>
      </c>
      <c r="G1250" s="0" t="s">
        <v>22</v>
      </c>
      <c r="H1250" s="0" t="s">
        <v>22</v>
      </c>
      <c r="I1250" s="0" t="s">
        <v>934</v>
      </c>
    </row>
    <row customHeight="1" ht="11.25">
      <c r="A1251" s="1854" t="s">
        <v>2291</v>
      </c>
      <c r="B1251" s="1854" t="s">
        <v>16</v>
      </c>
      <c r="C1251" s="0" t="s">
        <v>4393</v>
      </c>
      <c r="D1251" s="0" t="s">
        <v>4394</v>
      </c>
      <c r="E1251" s="0" t="s">
        <v>4395</v>
      </c>
      <c r="F1251" s="0" t="s">
        <v>51</v>
      </c>
      <c r="G1251" s="0" t="s">
        <v>22</v>
      </c>
      <c r="H1251" s="0" t="s">
        <v>22</v>
      </c>
      <c r="I1251" s="0" t="s">
        <v>934</v>
      </c>
    </row>
    <row customHeight="1" ht="11.25">
      <c r="A1252" s="1854" t="s">
        <v>2291</v>
      </c>
      <c r="B1252" s="1854" t="s">
        <v>16</v>
      </c>
      <c r="C1252" s="0" t="s">
        <v>2899</v>
      </c>
      <c r="D1252" s="0" t="s">
        <v>2900</v>
      </c>
      <c r="E1252" s="0" t="s">
        <v>2901</v>
      </c>
      <c r="F1252" s="0" t="s">
        <v>2640</v>
      </c>
      <c r="G1252" s="0" t="s">
        <v>22</v>
      </c>
      <c r="H1252" s="0" t="s">
        <v>22</v>
      </c>
      <c r="I1252" s="0" t="s">
        <v>934</v>
      </c>
    </row>
    <row customHeight="1" ht="11.25">
      <c r="A1253" s="1854" t="s">
        <v>2291</v>
      </c>
      <c r="B1253" s="1854" t="s">
        <v>16</v>
      </c>
      <c r="C1253" s="0" t="s">
        <v>2902</v>
      </c>
      <c r="D1253" s="0" t="s">
        <v>2903</v>
      </c>
      <c r="E1253" s="0" t="s">
        <v>2904</v>
      </c>
      <c r="F1253" s="0" t="s">
        <v>2420</v>
      </c>
      <c r="G1253" s="0" t="s">
        <v>2905</v>
      </c>
      <c r="H1253" s="0" t="s">
        <v>22</v>
      </c>
      <c r="I1253" s="0" t="s">
        <v>934</v>
      </c>
    </row>
    <row customHeight="1" ht="11.25">
      <c r="A1254" s="1854" t="s">
        <v>2291</v>
      </c>
      <c r="B1254" s="1854" t="s">
        <v>16</v>
      </c>
      <c r="C1254" s="0" t="s">
        <v>4399</v>
      </c>
      <c r="D1254" s="0" t="s">
        <v>4400</v>
      </c>
      <c r="E1254" s="0" t="s">
        <v>4401</v>
      </c>
      <c r="F1254" s="0" t="s">
        <v>2377</v>
      </c>
      <c r="G1254" s="0" t="s">
        <v>22</v>
      </c>
      <c r="H1254" s="0" t="s">
        <v>4402</v>
      </c>
      <c r="I1254" s="0" t="s">
        <v>934</v>
      </c>
    </row>
    <row customHeight="1" ht="11.25">
      <c r="A1255" s="1854" t="s">
        <v>2291</v>
      </c>
      <c r="B1255" s="1854" t="s">
        <v>16</v>
      </c>
      <c r="C1255" s="0" t="s">
        <v>4406</v>
      </c>
      <c r="D1255" s="0" t="s">
        <v>4407</v>
      </c>
      <c r="E1255" s="0" t="s">
        <v>4408</v>
      </c>
      <c r="F1255" s="0" t="s">
        <v>2313</v>
      </c>
      <c r="G1255" s="0" t="s">
        <v>4409</v>
      </c>
      <c r="H1255" s="0" t="s">
        <v>22</v>
      </c>
      <c r="I1255" s="0" t="s">
        <v>934</v>
      </c>
    </row>
    <row customHeight="1" ht="11.25">
      <c r="A1256" s="1854" t="s">
        <v>2291</v>
      </c>
      <c r="B1256" s="1854" t="s">
        <v>16</v>
      </c>
      <c r="C1256" s="0" t="s">
        <v>4410</v>
      </c>
      <c r="D1256" s="0" t="s">
        <v>4411</v>
      </c>
      <c r="E1256" s="0" t="s">
        <v>4412</v>
      </c>
      <c r="F1256" s="0" t="s">
        <v>2425</v>
      </c>
      <c r="G1256" s="0" t="s">
        <v>22</v>
      </c>
      <c r="H1256" s="0" t="s">
        <v>22</v>
      </c>
      <c r="I1256" s="0" t="s">
        <v>934</v>
      </c>
    </row>
    <row customHeight="1" ht="11.25">
      <c r="A1257" s="1854" t="s">
        <v>2291</v>
      </c>
      <c r="B1257" s="1854" t="s">
        <v>16</v>
      </c>
      <c r="C1257" s="0" t="s">
        <v>4413</v>
      </c>
      <c r="D1257" s="0" t="s">
        <v>4414</v>
      </c>
      <c r="E1257" s="0" t="s">
        <v>4415</v>
      </c>
      <c r="F1257" s="0" t="s">
        <v>2377</v>
      </c>
      <c r="G1257" s="0" t="s">
        <v>22</v>
      </c>
      <c r="H1257" s="0" t="s">
        <v>22</v>
      </c>
      <c r="I1257" s="0" t="s">
        <v>934</v>
      </c>
    </row>
    <row customHeight="1" ht="11.25">
      <c r="A1258" s="1854" t="s">
        <v>2291</v>
      </c>
      <c r="B1258" s="1854" t="s">
        <v>16</v>
      </c>
      <c r="C1258" s="0" t="s">
        <v>4704</v>
      </c>
      <c r="D1258" s="0" t="s">
        <v>4705</v>
      </c>
      <c r="E1258" s="0" t="s">
        <v>4706</v>
      </c>
      <c r="F1258" s="0" t="s">
        <v>2420</v>
      </c>
      <c r="G1258" s="0" t="s">
        <v>22</v>
      </c>
      <c r="H1258" s="0" t="s">
        <v>4707</v>
      </c>
      <c r="I1258" s="0" t="s">
        <v>934</v>
      </c>
    </row>
    <row customHeight="1" ht="11.25">
      <c r="A1259" s="1854" t="s">
        <v>2291</v>
      </c>
      <c r="B1259" s="1854" t="s">
        <v>16</v>
      </c>
      <c r="C1259" s="0" t="s">
        <v>4416</v>
      </c>
      <c r="D1259" s="0" t="s">
        <v>4417</v>
      </c>
      <c r="E1259" s="0" t="s">
        <v>4418</v>
      </c>
      <c r="F1259" s="0" t="s">
        <v>2467</v>
      </c>
      <c r="G1259" s="0" t="s">
        <v>22</v>
      </c>
      <c r="H1259" s="0" t="s">
        <v>22</v>
      </c>
      <c r="I1259" s="0" t="s">
        <v>934</v>
      </c>
    </row>
    <row customHeight="1" ht="11.25">
      <c r="A1260" s="1854" t="s">
        <v>2291</v>
      </c>
      <c r="B1260" s="1854" t="s">
        <v>16</v>
      </c>
      <c r="C1260" s="0" t="s">
        <v>4419</v>
      </c>
      <c r="D1260" s="0" t="s">
        <v>4420</v>
      </c>
      <c r="E1260" s="0" t="s">
        <v>4421</v>
      </c>
      <c r="F1260" s="0" t="s">
        <v>2640</v>
      </c>
      <c r="G1260" s="0" t="s">
        <v>4422</v>
      </c>
      <c r="H1260" s="0" t="s">
        <v>22</v>
      </c>
      <c r="I1260" s="0" t="s">
        <v>934</v>
      </c>
    </row>
    <row customHeight="1" ht="11.25">
      <c r="A1261" s="1854" t="s">
        <v>2291</v>
      </c>
      <c r="B1261" s="1854" t="s">
        <v>16</v>
      </c>
      <c r="C1261" s="0" t="s">
        <v>4708</v>
      </c>
      <c r="D1261" s="0" t="s">
        <v>4709</v>
      </c>
      <c r="E1261" s="0" t="s">
        <v>4710</v>
      </c>
      <c r="F1261" s="0" t="s">
        <v>2420</v>
      </c>
      <c r="G1261" s="0" t="s">
        <v>22</v>
      </c>
      <c r="H1261" s="0" t="s">
        <v>22</v>
      </c>
      <c r="I1261" s="0" t="s">
        <v>934</v>
      </c>
    </row>
    <row customHeight="1" ht="11.25">
      <c r="A1262" s="1854" t="s">
        <v>2291</v>
      </c>
      <c r="B1262" s="1854" t="s">
        <v>16</v>
      </c>
      <c r="C1262" s="0" t="s">
        <v>4423</v>
      </c>
      <c r="D1262" s="0" t="s">
        <v>4424</v>
      </c>
      <c r="E1262" s="0" t="s">
        <v>4425</v>
      </c>
      <c r="F1262" s="0" t="s">
        <v>2632</v>
      </c>
      <c r="G1262" s="0" t="s">
        <v>22</v>
      </c>
      <c r="H1262" s="0" t="s">
        <v>22</v>
      </c>
      <c r="I1262" s="0" t="s">
        <v>934</v>
      </c>
    </row>
    <row customHeight="1" ht="11.25">
      <c r="A1263" s="1854" t="s">
        <v>2291</v>
      </c>
      <c r="B1263" s="1854" t="s">
        <v>16</v>
      </c>
      <c r="C1263" s="0" t="s">
        <v>2919</v>
      </c>
      <c r="D1263" s="0" t="s">
        <v>2920</v>
      </c>
      <c r="E1263" s="0" t="s">
        <v>2921</v>
      </c>
      <c r="F1263" s="0" t="s">
        <v>2351</v>
      </c>
      <c r="G1263" s="0" t="s">
        <v>22</v>
      </c>
      <c r="H1263" s="0" t="s">
        <v>22</v>
      </c>
      <c r="I1263" s="0" t="s">
        <v>934</v>
      </c>
    </row>
    <row customHeight="1" ht="11.25">
      <c r="A1264" s="1854" t="s">
        <v>2291</v>
      </c>
      <c r="B1264" s="1854" t="s">
        <v>16</v>
      </c>
      <c r="C1264" s="0" t="s">
        <v>4429</v>
      </c>
      <c r="D1264" s="0" t="s">
        <v>4430</v>
      </c>
      <c r="E1264" s="0" t="s">
        <v>4431</v>
      </c>
      <c r="F1264" s="0" t="s">
        <v>2351</v>
      </c>
      <c r="G1264" s="0" t="s">
        <v>22</v>
      </c>
      <c r="H1264" s="0" t="s">
        <v>22</v>
      </c>
      <c r="I1264" s="0" t="s">
        <v>934</v>
      </c>
    </row>
    <row customHeight="1" ht="11.25">
      <c r="A1265" s="1854" t="s">
        <v>2291</v>
      </c>
      <c r="B1265" s="1854" t="s">
        <v>16</v>
      </c>
      <c r="C1265" s="0" t="s">
        <v>4432</v>
      </c>
      <c r="D1265" s="0" t="s">
        <v>4433</v>
      </c>
      <c r="E1265" s="0" t="s">
        <v>4434</v>
      </c>
      <c r="F1265" s="0" t="s">
        <v>2750</v>
      </c>
      <c r="G1265" s="0" t="s">
        <v>22</v>
      </c>
      <c r="H1265" s="0" t="s">
        <v>22</v>
      </c>
      <c r="I1265" s="0" t="s">
        <v>934</v>
      </c>
    </row>
    <row customHeight="1" ht="11.25">
      <c r="A1266" s="1854" t="s">
        <v>2291</v>
      </c>
      <c r="B1266" s="1854" t="s">
        <v>16</v>
      </c>
      <c r="C1266" s="0" t="s">
        <v>4435</v>
      </c>
      <c r="D1266" s="0" t="s">
        <v>4436</v>
      </c>
      <c r="E1266" s="0" t="s">
        <v>4437</v>
      </c>
      <c r="F1266" s="0" t="s">
        <v>2309</v>
      </c>
      <c r="G1266" s="0" t="s">
        <v>22</v>
      </c>
      <c r="H1266" s="0" t="s">
        <v>22</v>
      </c>
      <c r="I1266" s="0" t="s">
        <v>934</v>
      </c>
    </row>
    <row customHeight="1" ht="11.25">
      <c r="A1267" s="1854" t="s">
        <v>2291</v>
      </c>
      <c r="B1267" s="1854" t="s">
        <v>16</v>
      </c>
      <c r="C1267" s="0" t="s">
        <v>2943</v>
      </c>
      <c r="D1267" s="0" t="s">
        <v>2944</v>
      </c>
      <c r="E1267" s="0" t="s">
        <v>2945</v>
      </c>
      <c r="F1267" s="0" t="s">
        <v>2351</v>
      </c>
      <c r="G1267" s="0" t="s">
        <v>22</v>
      </c>
      <c r="H1267" s="0" t="s">
        <v>22</v>
      </c>
      <c r="I1267" s="0" t="s">
        <v>934</v>
      </c>
    </row>
    <row customHeight="1" ht="11.25">
      <c r="A1268" s="1854" t="s">
        <v>2291</v>
      </c>
      <c r="B1268" s="1854" t="s">
        <v>16</v>
      </c>
      <c r="C1268" s="0" t="s">
        <v>2946</v>
      </c>
      <c r="D1268" s="0" t="s">
        <v>2947</v>
      </c>
      <c r="E1268" s="0" t="s">
        <v>2948</v>
      </c>
      <c r="F1268" s="0" t="s">
        <v>2351</v>
      </c>
      <c r="G1268" s="0" t="s">
        <v>22</v>
      </c>
      <c r="H1268" s="0" t="s">
        <v>22</v>
      </c>
      <c r="I1268" s="0" t="s">
        <v>934</v>
      </c>
    </row>
    <row customHeight="1" ht="11.25">
      <c r="A1269" s="1854" t="s">
        <v>2291</v>
      </c>
      <c r="B1269" s="1854" t="s">
        <v>16</v>
      </c>
      <c r="C1269" s="0" t="s">
        <v>4438</v>
      </c>
      <c r="D1269" s="0" t="s">
        <v>4439</v>
      </c>
      <c r="E1269" s="0" t="s">
        <v>4440</v>
      </c>
      <c r="F1269" s="0" t="s">
        <v>2351</v>
      </c>
      <c r="G1269" s="0" t="s">
        <v>22</v>
      </c>
      <c r="H1269" s="0" t="s">
        <v>22</v>
      </c>
      <c r="I1269" s="0" t="s">
        <v>934</v>
      </c>
    </row>
    <row customHeight="1" ht="11.25">
      <c r="A1270" s="1854" t="s">
        <v>2291</v>
      </c>
      <c r="B1270" s="1854" t="s">
        <v>16</v>
      </c>
      <c r="C1270" s="0" t="s">
        <v>4441</v>
      </c>
      <c r="D1270" s="0" t="s">
        <v>4442</v>
      </c>
      <c r="E1270" s="0" t="s">
        <v>4443</v>
      </c>
      <c r="F1270" s="0" t="s">
        <v>2309</v>
      </c>
      <c r="G1270" s="0" t="s">
        <v>22</v>
      </c>
      <c r="H1270" s="0" t="s">
        <v>22</v>
      </c>
      <c r="I1270" s="0" t="s">
        <v>934</v>
      </c>
    </row>
    <row customHeight="1" ht="11.25">
      <c r="A1271" s="1854" t="s">
        <v>2291</v>
      </c>
      <c r="B1271" s="1854" t="s">
        <v>16</v>
      </c>
      <c r="C1271" s="0" t="s">
        <v>4444</v>
      </c>
      <c r="D1271" s="0" t="s">
        <v>4445</v>
      </c>
      <c r="E1271" s="0" t="s">
        <v>4446</v>
      </c>
      <c r="F1271" s="0" t="s">
        <v>2309</v>
      </c>
      <c r="G1271" s="0" t="s">
        <v>22</v>
      </c>
      <c r="H1271" s="0" t="s">
        <v>22</v>
      </c>
      <c r="I1271" s="0" t="s">
        <v>934</v>
      </c>
    </row>
    <row customHeight="1" ht="11.25">
      <c r="A1272" s="1854" t="s">
        <v>2291</v>
      </c>
      <c r="B1272" s="1854" t="s">
        <v>16</v>
      </c>
      <c r="C1272" s="0" t="s">
        <v>2952</v>
      </c>
      <c r="D1272" s="0" t="s">
        <v>2953</v>
      </c>
      <c r="E1272" s="0" t="s">
        <v>2954</v>
      </c>
      <c r="F1272" s="0" t="s">
        <v>2309</v>
      </c>
      <c r="G1272" s="0" t="s">
        <v>22</v>
      </c>
      <c r="H1272" s="0" t="s">
        <v>22</v>
      </c>
      <c r="I1272" s="0" t="s">
        <v>934</v>
      </c>
    </row>
    <row customHeight="1" ht="11.25">
      <c r="A1273" s="1854" t="s">
        <v>2291</v>
      </c>
      <c r="B1273" s="1854" t="s">
        <v>16</v>
      </c>
      <c r="C1273" s="0" t="s">
        <v>2973</v>
      </c>
      <c r="D1273" s="0" t="s">
        <v>2974</v>
      </c>
      <c r="E1273" s="0" t="s">
        <v>2975</v>
      </c>
      <c r="F1273" s="0" t="s">
        <v>2640</v>
      </c>
      <c r="G1273" s="0" t="s">
        <v>22</v>
      </c>
      <c r="H1273" s="0" t="s">
        <v>22</v>
      </c>
      <c r="I1273" s="0" t="s">
        <v>934</v>
      </c>
    </row>
    <row customHeight="1" ht="11.25">
      <c r="A1274" s="1854" t="s">
        <v>2291</v>
      </c>
      <c r="B1274" s="1854" t="s">
        <v>16</v>
      </c>
      <c r="C1274" s="0" t="s">
        <v>2976</v>
      </c>
      <c r="D1274" s="0" t="s">
        <v>2977</v>
      </c>
      <c r="E1274" s="0" t="s">
        <v>2978</v>
      </c>
      <c r="F1274" s="0" t="s">
        <v>2467</v>
      </c>
      <c r="G1274" s="0" t="s">
        <v>2979</v>
      </c>
      <c r="H1274" s="0" t="s">
        <v>22</v>
      </c>
      <c r="I1274" s="0" t="s">
        <v>934</v>
      </c>
    </row>
    <row customHeight="1" ht="11.25">
      <c r="A1275" s="1854" t="s">
        <v>2291</v>
      </c>
      <c r="B1275" s="1854" t="s">
        <v>16</v>
      </c>
      <c r="C1275" s="0" t="s">
        <v>4447</v>
      </c>
      <c r="D1275" s="0" t="s">
        <v>4448</v>
      </c>
      <c r="E1275" s="0" t="s">
        <v>4449</v>
      </c>
      <c r="F1275" s="0" t="s">
        <v>2640</v>
      </c>
      <c r="G1275" s="0" t="s">
        <v>22</v>
      </c>
      <c r="H1275" s="0" t="s">
        <v>22</v>
      </c>
      <c r="I1275" s="0" t="s">
        <v>934</v>
      </c>
    </row>
    <row customHeight="1" ht="11.25">
      <c r="A1276" s="1854" t="s">
        <v>2291</v>
      </c>
      <c r="B1276" s="1854" t="s">
        <v>16</v>
      </c>
      <c r="C1276" s="0" t="s">
        <v>4450</v>
      </c>
      <c r="D1276" s="0" t="s">
        <v>4451</v>
      </c>
      <c r="E1276" s="0" t="s">
        <v>4452</v>
      </c>
      <c r="F1276" s="0" t="s">
        <v>2416</v>
      </c>
      <c r="G1276" s="0" t="s">
        <v>22</v>
      </c>
      <c r="H1276" s="0" t="s">
        <v>22</v>
      </c>
      <c r="I1276" s="0" t="s">
        <v>934</v>
      </c>
    </row>
    <row customHeight="1" ht="11.25">
      <c r="A1277" s="1854" t="s">
        <v>2291</v>
      </c>
      <c r="B1277" s="1854" t="s">
        <v>16</v>
      </c>
      <c r="C1277" s="0" t="s">
        <v>2983</v>
      </c>
      <c r="D1277" s="0" t="s">
        <v>2984</v>
      </c>
      <c r="E1277" s="0" t="s">
        <v>2985</v>
      </c>
      <c r="F1277" s="0" t="s">
        <v>2632</v>
      </c>
      <c r="G1277" s="0" t="s">
        <v>22</v>
      </c>
      <c r="H1277" s="0" t="s">
        <v>22</v>
      </c>
      <c r="I1277" s="0" t="s">
        <v>934</v>
      </c>
    </row>
    <row customHeight="1" ht="11.25">
      <c r="A1278" s="1854" t="s">
        <v>2291</v>
      </c>
      <c r="B1278" s="1854" t="s">
        <v>16</v>
      </c>
      <c r="C1278" s="0" t="s">
        <v>2986</v>
      </c>
      <c r="D1278" s="0" t="s">
        <v>2987</v>
      </c>
      <c r="E1278" s="0" t="s">
        <v>2988</v>
      </c>
      <c r="F1278" s="0" t="s">
        <v>2416</v>
      </c>
      <c r="G1278" s="0" t="s">
        <v>22</v>
      </c>
      <c r="H1278" s="0" t="s">
        <v>22</v>
      </c>
      <c r="I1278" s="0" t="s">
        <v>934</v>
      </c>
    </row>
    <row customHeight="1" ht="11.25">
      <c r="A1279" s="1854" t="s">
        <v>2291</v>
      </c>
      <c r="B1279" s="1854" t="s">
        <v>16</v>
      </c>
      <c r="C1279" s="0" t="s">
        <v>4453</v>
      </c>
      <c r="D1279" s="0" t="s">
        <v>4454</v>
      </c>
      <c r="E1279" s="0" t="s">
        <v>4455</v>
      </c>
      <c r="F1279" s="0" t="s">
        <v>2425</v>
      </c>
      <c r="G1279" s="0" t="s">
        <v>22</v>
      </c>
      <c r="H1279" s="0" t="s">
        <v>22</v>
      </c>
      <c r="I1279" s="0" t="s">
        <v>934</v>
      </c>
    </row>
    <row customHeight="1" ht="11.25">
      <c r="A1280" s="1854" t="s">
        <v>2291</v>
      </c>
      <c r="B1280" s="1854" t="s">
        <v>16</v>
      </c>
      <c r="C1280" s="0" t="s">
        <v>2989</v>
      </c>
      <c r="D1280" s="0" t="s">
        <v>2990</v>
      </c>
      <c r="E1280" s="0" t="s">
        <v>2991</v>
      </c>
      <c r="F1280" s="0" t="s">
        <v>2351</v>
      </c>
      <c r="G1280" s="0" t="s">
        <v>22</v>
      </c>
      <c r="H1280" s="0" t="s">
        <v>22</v>
      </c>
      <c r="I1280" s="0" t="s">
        <v>934</v>
      </c>
    </row>
    <row customHeight="1" ht="11.25">
      <c r="A1281" s="1854" t="s">
        <v>2291</v>
      </c>
      <c r="B1281" s="1854" t="s">
        <v>16</v>
      </c>
      <c r="C1281" s="0" t="s">
        <v>4456</v>
      </c>
      <c r="D1281" s="0" t="s">
        <v>4457</v>
      </c>
      <c r="E1281" s="0" t="s">
        <v>4458</v>
      </c>
      <c r="F1281" s="0" t="s">
        <v>51</v>
      </c>
      <c r="G1281" s="0" t="s">
        <v>22</v>
      </c>
      <c r="H1281" s="0" t="s">
        <v>22</v>
      </c>
      <c r="I1281" s="0" t="s">
        <v>934</v>
      </c>
    </row>
    <row customHeight="1" ht="11.25">
      <c r="A1282" s="1854" t="s">
        <v>2291</v>
      </c>
      <c r="B1282" s="1854" t="s">
        <v>16</v>
      </c>
      <c r="C1282" s="0" t="s">
        <v>4462</v>
      </c>
      <c r="D1282" s="0" t="s">
        <v>4463</v>
      </c>
      <c r="E1282" s="0" t="s">
        <v>4464</v>
      </c>
      <c r="F1282" s="0" t="s">
        <v>2322</v>
      </c>
      <c r="G1282" s="0" t="s">
        <v>22</v>
      </c>
      <c r="H1282" s="0" t="s">
        <v>22</v>
      </c>
      <c r="I1282" s="0" t="s">
        <v>934</v>
      </c>
    </row>
    <row customHeight="1" ht="11.25">
      <c r="A1283" s="1854" t="s">
        <v>2291</v>
      </c>
      <c r="B1283" s="1854" t="s">
        <v>16</v>
      </c>
      <c r="C1283" s="0" t="s">
        <v>2992</v>
      </c>
      <c r="D1283" s="0" t="s">
        <v>2993</v>
      </c>
      <c r="E1283" s="0" t="s">
        <v>2994</v>
      </c>
      <c r="F1283" s="0" t="s">
        <v>2322</v>
      </c>
      <c r="G1283" s="0" t="s">
        <v>22</v>
      </c>
      <c r="H1283" s="0" t="s">
        <v>22</v>
      </c>
      <c r="I1283" s="0" t="s">
        <v>934</v>
      </c>
    </row>
    <row customHeight="1" ht="11.25">
      <c r="A1284" s="1854" t="s">
        <v>2291</v>
      </c>
      <c r="B1284" s="1854" t="s">
        <v>16</v>
      </c>
      <c r="C1284" s="0" t="s">
        <v>4465</v>
      </c>
      <c r="D1284" s="0" t="s">
        <v>4466</v>
      </c>
      <c r="E1284" s="0" t="s">
        <v>4467</v>
      </c>
      <c r="F1284" s="0" t="s">
        <v>2377</v>
      </c>
      <c r="G1284" s="0" t="s">
        <v>22</v>
      </c>
      <c r="H1284" s="0" t="s">
        <v>22</v>
      </c>
      <c r="I1284" s="0" t="s">
        <v>934</v>
      </c>
    </row>
    <row customHeight="1" ht="11.25">
      <c r="A1285" s="1854" t="s">
        <v>2291</v>
      </c>
      <c r="B1285" s="1854" t="s">
        <v>16</v>
      </c>
      <c r="C1285" s="0" t="s">
        <v>4711</v>
      </c>
      <c r="D1285" s="0" t="s">
        <v>4712</v>
      </c>
      <c r="E1285" s="0" t="s">
        <v>4713</v>
      </c>
      <c r="F1285" s="0" t="s">
        <v>51</v>
      </c>
      <c r="G1285" s="0" t="s">
        <v>22</v>
      </c>
      <c r="H1285" s="0" t="s">
        <v>22</v>
      </c>
      <c r="I1285" s="0" t="s">
        <v>934</v>
      </c>
    </row>
    <row customHeight="1" ht="11.25">
      <c r="A1286" s="1854" t="s">
        <v>2291</v>
      </c>
      <c r="B1286" s="1854" t="s">
        <v>16</v>
      </c>
      <c r="C1286" s="0" t="s">
        <v>4468</v>
      </c>
      <c r="D1286" s="0" t="s">
        <v>4469</v>
      </c>
      <c r="E1286" s="0" t="s">
        <v>4470</v>
      </c>
      <c r="F1286" s="0" t="s">
        <v>2750</v>
      </c>
      <c r="G1286" s="0" t="s">
        <v>22</v>
      </c>
      <c r="H1286" s="0" t="s">
        <v>22</v>
      </c>
      <c r="I1286" s="0" t="s">
        <v>934</v>
      </c>
    </row>
    <row customHeight="1" ht="11.25">
      <c r="A1287" s="1854" t="s">
        <v>2291</v>
      </c>
      <c r="B1287" s="1854" t="s">
        <v>16</v>
      </c>
      <c r="C1287" s="0" t="s">
        <v>4714</v>
      </c>
      <c r="D1287" s="0" t="s">
        <v>4715</v>
      </c>
      <c r="E1287" s="0" t="s">
        <v>4716</v>
      </c>
      <c r="F1287" s="0" t="s">
        <v>2420</v>
      </c>
      <c r="G1287" s="0" t="s">
        <v>4717</v>
      </c>
      <c r="H1287" s="0" t="s">
        <v>22</v>
      </c>
      <c r="I1287" s="0" t="s">
        <v>934</v>
      </c>
    </row>
    <row customHeight="1" ht="11.25">
      <c r="A1288" s="1854" t="s">
        <v>2291</v>
      </c>
      <c r="B1288" s="1854" t="s">
        <v>16</v>
      </c>
      <c r="C1288" s="0" t="s">
        <v>3004</v>
      </c>
      <c r="D1288" s="0" t="s">
        <v>3005</v>
      </c>
      <c r="E1288" s="0" t="s">
        <v>3006</v>
      </c>
      <c r="F1288" s="0" t="s">
        <v>2322</v>
      </c>
      <c r="G1288" s="0" t="s">
        <v>22</v>
      </c>
      <c r="H1288" s="0" t="s">
        <v>22</v>
      </c>
      <c r="I1288" s="0" t="s">
        <v>934</v>
      </c>
    </row>
    <row customHeight="1" ht="11.25">
      <c r="A1289" s="1854" t="s">
        <v>2291</v>
      </c>
      <c r="B1289" s="1854" t="s">
        <v>16</v>
      </c>
      <c r="C1289" s="0" t="s">
        <v>4471</v>
      </c>
      <c r="D1289" s="0" t="s">
        <v>4472</v>
      </c>
      <c r="E1289" s="0" t="s">
        <v>4473</v>
      </c>
      <c r="F1289" s="0" t="s">
        <v>2313</v>
      </c>
      <c r="G1289" s="0" t="s">
        <v>22</v>
      </c>
      <c r="H1289" s="0" t="s">
        <v>22</v>
      </c>
      <c r="I1289" s="0" t="s">
        <v>934</v>
      </c>
    </row>
    <row customHeight="1" ht="11.25">
      <c r="A1290" s="1854" t="s">
        <v>2291</v>
      </c>
      <c r="B1290" s="1854" t="s">
        <v>16</v>
      </c>
      <c r="C1290" s="0" t="s">
        <v>3030</v>
      </c>
      <c r="D1290" s="0" t="s">
        <v>3031</v>
      </c>
      <c r="E1290" s="0" t="s">
        <v>3032</v>
      </c>
      <c r="F1290" s="0" t="s">
        <v>2750</v>
      </c>
      <c r="G1290" s="0" t="s">
        <v>3033</v>
      </c>
      <c r="H1290" s="0" t="s">
        <v>22</v>
      </c>
      <c r="I1290" s="0" t="s">
        <v>934</v>
      </c>
    </row>
    <row customHeight="1" ht="11.25">
      <c r="A1291" s="1854" t="s">
        <v>2291</v>
      </c>
      <c r="B1291" s="1854" t="s">
        <v>16</v>
      </c>
      <c r="C1291" s="0" t="s">
        <v>4477</v>
      </c>
      <c r="D1291" s="0" t="s">
        <v>4478</v>
      </c>
      <c r="E1291" s="0" t="s">
        <v>4479</v>
      </c>
      <c r="F1291" s="0" t="s">
        <v>2467</v>
      </c>
      <c r="G1291" s="0" t="s">
        <v>22</v>
      </c>
      <c r="H1291" s="0" t="s">
        <v>22</v>
      </c>
      <c r="I1291" s="0" t="s">
        <v>934</v>
      </c>
    </row>
    <row customHeight="1" ht="11.25">
      <c r="A1292" s="1854" t="s">
        <v>2291</v>
      </c>
      <c r="B1292" s="1854" t="s">
        <v>16</v>
      </c>
      <c r="C1292" s="0" t="s">
        <v>3053</v>
      </c>
      <c r="D1292" s="0" t="s">
        <v>3054</v>
      </c>
      <c r="E1292" s="0" t="s">
        <v>3055</v>
      </c>
      <c r="F1292" s="0" t="s">
        <v>2420</v>
      </c>
      <c r="G1292" s="0" t="s">
        <v>22</v>
      </c>
      <c r="H1292" s="0" t="s">
        <v>22</v>
      </c>
      <c r="I1292" s="0" t="s">
        <v>934</v>
      </c>
    </row>
    <row customHeight="1" ht="11.25">
      <c r="A1293" s="1854" t="s">
        <v>2291</v>
      </c>
      <c r="B1293" s="1854" t="s">
        <v>16</v>
      </c>
      <c r="C1293" s="0" t="s">
        <v>4480</v>
      </c>
      <c r="D1293" s="0" t="s">
        <v>4481</v>
      </c>
      <c r="E1293" s="0" t="s">
        <v>4482</v>
      </c>
      <c r="F1293" s="0" t="s">
        <v>2750</v>
      </c>
      <c r="G1293" s="0" t="s">
        <v>22</v>
      </c>
      <c r="H1293" s="0" t="s">
        <v>22</v>
      </c>
      <c r="I1293" s="0" t="s">
        <v>934</v>
      </c>
    </row>
    <row customHeight="1" ht="11.25">
      <c r="A1294" s="1854" t="s">
        <v>2291</v>
      </c>
      <c r="B1294" s="1854" t="s">
        <v>16</v>
      </c>
      <c r="C1294" s="0" t="s">
        <v>4483</v>
      </c>
      <c r="D1294" s="0" t="s">
        <v>4484</v>
      </c>
      <c r="E1294" s="0" t="s">
        <v>4485</v>
      </c>
      <c r="F1294" s="0" t="s">
        <v>2640</v>
      </c>
      <c r="G1294" s="0" t="s">
        <v>22</v>
      </c>
      <c r="H1294" s="0" t="s">
        <v>4486</v>
      </c>
      <c r="I1294" s="0" t="s">
        <v>934</v>
      </c>
    </row>
    <row customHeight="1" ht="11.25">
      <c r="A1295" s="1854" t="s">
        <v>2291</v>
      </c>
      <c r="B1295" s="1854" t="s">
        <v>16</v>
      </c>
      <c r="C1295" s="0" t="s">
        <v>4487</v>
      </c>
      <c r="D1295" s="0" t="s">
        <v>4488</v>
      </c>
      <c r="E1295" s="0" t="s">
        <v>4489</v>
      </c>
      <c r="F1295" s="0" t="s">
        <v>2425</v>
      </c>
      <c r="G1295" s="0" t="s">
        <v>4490</v>
      </c>
      <c r="H1295" s="0" t="s">
        <v>22</v>
      </c>
      <c r="I1295" s="0" t="s">
        <v>934</v>
      </c>
    </row>
    <row customHeight="1" ht="11.25">
      <c r="A1296" s="1854" t="s">
        <v>2291</v>
      </c>
      <c r="B1296" s="1854" t="s">
        <v>16</v>
      </c>
      <c r="C1296" s="0" t="s">
        <v>4491</v>
      </c>
      <c r="D1296" s="0" t="s">
        <v>4492</v>
      </c>
      <c r="E1296" s="0" t="s">
        <v>4493</v>
      </c>
      <c r="F1296" s="0" t="s">
        <v>2416</v>
      </c>
      <c r="G1296" s="0" t="s">
        <v>4494</v>
      </c>
      <c r="H1296" s="0" t="s">
        <v>22</v>
      </c>
      <c r="I1296" s="0" t="s">
        <v>934</v>
      </c>
    </row>
    <row customHeight="1" ht="11.25">
      <c r="A1297" s="1854" t="s">
        <v>2291</v>
      </c>
      <c r="B1297" s="1854" t="s">
        <v>16</v>
      </c>
      <c r="C1297" s="0" t="s">
        <v>3060</v>
      </c>
      <c r="D1297" s="0" t="s">
        <v>3061</v>
      </c>
      <c r="E1297" s="0" t="s">
        <v>3062</v>
      </c>
      <c r="F1297" s="0" t="s">
        <v>2309</v>
      </c>
      <c r="G1297" s="0" t="s">
        <v>3063</v>
      </c>
      <c r="H1297" s="0" t="s">
        <v>22</v>
      </c>
      <c r="I1297" s="0" t="s">
        <v>934</v>
      </c>
    </row>
    <row customHeight="1" ht="11.25">
      <c r="A1298" s="1854" t="s">
        <v>2291</v>
      </c>
      <c r="B1298" s="1854" t="s">
        <v>16</v>
      </c>
      <c r="C1298" s="0" t="s">
        <v>4495</v>
      </c>
      <c r="D1298" s="0" t="s">
        <v>4496</v>
      </c>
      <c r="E1298" s="0" t="s">
        <v>4497</v>
      </c>
      <c r="F1298" s="0" t="s">
        <v>2640</v>
      </c>
      <c r="G1298" s="0" t="s">
        <v>4498</v>
      </c>
      <c r="H1298" s="0" t="s">
        <v>22</v>
      </c>
      <c r="I1298" s="0" t="s">
        <v>934</v>
      </c>
    </row>
    <row customHeight="1" ht="11.25">
      <c r="A1299" s="1854" t="s">
        <v>2291</v>
      </c>
      <c r="B1299" s="1854" t="s">
        <v>16</v>
      </c>
      <c r="C1299" s="0" t="s">
        <v>4499</v>
      </c>
      <c r="D1299" s="0" t="s">
        <v>4500</v>
      </c>
      <c r="E1299" s="0" t="s">
        <v>4501</v>
      </c>
      <c r="F1299" s="0" t="s">
        <v>2425</v>
      </c>
      <c r="G1299" s="0" t="s">
        <v>4502</v>
      </c>
      <c r="H1299" s="0" t="s">
        <v>22</v>
      </c>
      <c r="I1299" s="0" t="s">
        <v>934</v>
      </c>
    </row>
    <row customHeight="1" ht="11.25">
      <c r="A1300" s="1854" t="s">
        <v>2291</v>
      </c>
      <c r="B1300" s="1854" t="s">
        <v>16</v>
      </c>
      <c r="C1300" s="0" t="s">
        <v>3067</v>
      </c>
      <c r="D1300" s="0" t="s">
        <v>3068</v>
      </c>
      <c r="E1300" s="0" t="s">
        <v>3069</v>
      </c>
      <c r="F1300" s="0" t="s">
        <v>2351</v>
      </c>
      <c r="G1300" s="0" t="s">
        <v>3070</v>
      </c>
      <c r="H1300" s="0" t="s">
        <v>22</v>
      </c>
      <c r="I1300" s="0" t="s">
        <v>934</v>
      </c>
    </row>
    <row customHeight="1" ht="11.25">
      <c r="A1301" s="1854" t="s">
        <v>2291</v>
      </c>
      <c r="B1301" s="1854" t="s">
        <v>16</v>
      </c>
      <c r="C1301" s="0" t="s">
        <v>3071</v>
      </c>
      <c r="D1301" s="0" t="s">
        <v>3072</v>
      </c>
      <c r="E1301" s="0" t="s">
        <v>3073</v>
      </c>
      <c r="F1301" s="0" t="s">
        <v>2420</v>
      </c>
      <c r="G1301" s="0" t="s">
        <v>3074</v>
      </c>
      <c r="H1301" s="0" t="s">
        <v>22</v>
      </c>
      <c r="I1301" s="0" t="s">
        <v>934</v>
      </c>
    </row>
    <row customHeight="1" ht="11.25">
      <c r="A1302" s="1854" t="s">
        <v>2291</v>
      </c>
      <c r="B1302" s="1854" t="s">
        <v>16</v>
      </c>
      <c r="C1302" s="0" t="s">
        <v>3075</v>
      </c>
      <c r="D1302" s="0" t="s">
        <v>3076</v>
      </c>
      <c r="E1302" s="0" t="s">
        <v>3077</v>
      </c>
      <c r="F1302" s="0" t="s">
        <v>2401</v>
      </c>
      <c r="G1302" s="0" t="s">
        <v>3078</v>
      </c>
      <c r="H1302" s="0" t="s">
        <v>22</v>
      </c>
      <c r="I1302" s="0" t="s">
        <v>934</v>
      </c>
    </row>
    <row customHeight="1" ht="11.25">
      <c r="A1303" s="1854" t="s">
        <v>2291</v>
      </c>
      <c r="B1303" s="1854" t="s">
        <v>16</v>
      </c>
      <c r="C1303" s="0" t="s">
        <v>3079</v>
      </c>
      <c r="D1303" s="0" t="s">
        <v>3080</v>
      </c>
      <c r="E1303" s="0" t="s">
        <v>3081</v>
      </c>
      <c r="F1303" s="0" t="s">
        <v>2322</v>
      </c>
      <c r="G1303" s="0" t="s">
        <v>22</v>
      </c>
      <c r="H1303" s="0" t="s">
        <v>22</v>
      </c>
      <c r="I1303" s="0" t="s">
        <v>934</v>
      </c>
    </row>
    <row customHeight="1" ht="11.25">
      <c r="A1304" s="1854" t="s">
        <v>2291</v>
      </c>
      <c r="B1304" s="1854" t="s">
        <v>16</v>
      </c>
      <c r="C1304" s="0" t="s">
        <v>3082</v>
      </c>
      <c r="D1304" s="0" t="s">
        <v>3083</v>
      </c>
      <c r="E1304" s="0" t="s">
        <v>3084</v>
      </c>
      <c r="F1304" s="0" t="s">
        <v>2425</v>
      </c>
      <c r="G1304" s="0" t="s">
        <v>22</v>
      </c>
      <c r="H1304" s="0" t="s">
        <v>22</v>
      </c>
      <c r="I1304" s="0" t="s">
        <v>934</v>
      </c>
    </row>
    <row customHeight="1" ht="11.25">
      <c r="A1305" s="1854" t="s">
        <v>2291</v>
      </c>
      <c r="B1305" s="1854" t="s">
        <v>16</v>
      </c>
      <c r="C1305" s="0" t="s">
        <v>3085</v>
      </c>
      <c r="D1305" s="0" t="s">
        <v>3086</v>
      </c>
      <c r="E1305" s="0" t="s">
        <v>3087</v>
      </c>
      <c r="F1305" s="0" t="s">
        <v>2425</v>
      </c>
      <c r="G1305" s="0" t="s">
        <v>3088</v>
      </c>
      <c r="H1305" s="0" t="s">
        <v>22</v>
      </c>
      <c r="I1305" s="0" t="s">
        <v>934</v>
      </c>
    </row>
    <row customHeight="1" ht="11.25">
      <c r="A1306" s="1854" t="s">
        <v>2291</v>
      </c>
      <c r="B1306" s="1854" t="s">
        <v>16</v>
      </c>
      <c r="C1306" s="0" t="s">
        <v>3089</v>
      </c>
      <c r="D1306" s="0" t="s">
        <v>3090</v>
      </c>
      <c r="E1306" s="0" t="s">
        <v>3091</v>
      </c>
      <c r="F1306" s="0" t="s">
        <v>2788</v>
      </c>
      <c r="G1306" s="0" t="s">
        <v>3092</v>
      </c>
      <c r="H1306" s="0" t="s">
        <v>22</v>
      </c>
      <c r="I1306" s="0" t="s">
        <v>934</v>
      </c>
    </row>
    <row customHeight="1" ht="11.25">
      <c r="A1307" s="1854" t="s">
        <v>2291</v>
      </c>
      <c r="B1307" s="1854" t="s">
        <v>16</v>
      </c>
      <c r="C1307" s="0" t="s">
        <v>3093</v>
      </c>
      <c r="D1307" s="0" t="s">
        <v>3094</v>
      </c>
      <c r="E1307" s="0" t="s">
        <v>3095</v>
      </c>
      <c r="F1307" s="0" t="s">
        <v>2750</v>
      </c>
      <c r="G1307" s="0" t="s">
        <v>22</v>
      </c>
      <c r="H1307" s="0" t="s">
        <v>22</v>
      </c>
      <c r="I1307" s="0" t="s">
        <v>934</v>
      </c>
    </row>
    <row customHeight="1" ht="11.25">
      <c r="A1308" s="1854" t="s">
        <v>2291</v>
      </c>
      <c r="B1308" s="1854" t="s">
        <v>16</v>
      </c>
      <c r="C1308" s="0" t="s">
        <v>3096</v>
      </c>
      <c r="D1308" s="0" t="s">
        <v>3097</v>
      </c>
      <c r="E1308" s="0" t="s">
        <v>3098</v>
      </c>
      <c r="F1308" s="0" t="s">
        <v>2425</v>
      </c>
      <c r="G1308" s="0" t="s">
        <v>22</v>
      </c>
      <c r="H1308" s="0" t="s">
        <v>22</v>
      </c>
      <c r="I1308" s="0" t="s">
        <v>934</v>
      </c>
    </row>
    <row customHeight="1" ht="11.25">
      <c r="A1309" s="1854" t="s">
        <v>2291</v>
      </c>
      <c r="B1309" s="1854" t="s">
        <v>16</v>
      </c>
      <c r="C1309" s="0" t="s">
        <v>3107</v>
      </c>
      <c r="D1309" s="0" t="s">
        <v>3108</v>
      </c>
      <c r="E1309" s="0" t="s">
        <v>3109</v>
      </c>
      <c r="F1309" s="0" t="s">
        <v>2640</v>
      </c>
      <c r="G1309" s="0" t="s">
        <v>3110</v>
      </c>
      <c r="H1309" s="0" t="s">
        <v>22</v>
      </c>
      <c r="I1309" s="0" t="s">
        <v>934</v>
      </c>
    </row>
    <row customHeight="1" ht="11.25">
      <c r="A1310" s="1854" t="s">
        <v>2291</v>
      </c>
      <c r="B1310" s="1854" t="s">
        <v>16</v>
      </c>
      <c r="C1310" s="0" t="s">
        <v>3111</v>
      </c>
      <c r="D1310" s="0" t="s">
        <v>3112</v>
      </c>
      <c r="E1310" s="0" t="s">
        <v>3113</v>
      </c>
      <c r="F1310" s="0" t="s">
        <v>2632</v>
      </c>
      <c r="G1310" s="0" t="s">
        <v>22</v>
      </c>
      <c r="H1310" s="0" t="s">
        <v>3114</v>
      </c>
      <c r="I1310" s="0" t="s">
        <v>934</v>
      </c>
    </row>
    <row customHeight="1" ht="11.25">
      <c r="A1311" s="1854" t="s">
        <v>2291</v>
      </c>
      <c r="B1311" s="1854" t="s">
        <v>16</v>
      </c>
      <c r="C1311" s="0" t="s">
        <v>3115</v>
      </c>
      <c r="D1311" s="0" t="s">
        <v>3116</v>
      </c>
      <c r="E1311" s="0" t="s">
        <v>3117</v>
      </c>
      <c r="F1311" s="0" t="s">
        <v>2750</v>
      </c>
      <c r="G1311" s="0" t="s">
        <v>3118</v>
      </c>
      <c r="H1311" s="0" t="s">
        <v>22</v>
      </c>
      <c r="I1311" s="0" t="s">
        <v>934</v>
      </c>
    </row>
    <row customHeight="1" ht="11.25">
      <c r="A1312" s="1854" t="s">
        <v>2291</v>
      </c>
      <c r="B1312" s="1854" t="s">
        <v>16</v>
      </c>
      <c r="C1312" s="0" t="s">
        <v>3119</v>
      </c>
      <c r="D1312" s="0" t="s">
        <v>3120</v>
      </c>
      <c r="E1312" s="0" t="s">
        <v>3121</v>
      </c>
      <c r="F1312" s="0" t="s">
        <v>2309</v>
      </c>
      <c r="G1312" s="0" t="s">
        <v>3122</v>
      </c>
      <c r="H1312" s="0" t="s">
        <v>22</v>
      </c>
      <c r="I1312" s="0" t="s">
        <v>934</v>
      </c>
    </row>
    <row customHeight="1" ht="11.25">
      <c r="A1313" s="1854" t="s">
        <v>2291</v>
      </c>
      <c r="B1313" s="1854" t="s">
        <v>16</v>
      </c>
      <c r="C1313" s="0" t="s">
        <v>4503</v>
      </c>
      <c r="D1313" s="0" t="s">
        <v>4504</v>
      </c>
      <c r="E1313" s="0" t="s">
        <v>4505</v>
      </c>
      <c r="F1313" s="0" t="s">
        <v>2377</v>
      </c>
      <c r="G1313" s="0" t="s">
        <v>4506</v>
      </c>
      <c r="H1313" s="0" t="s">
        <v>4507</v>
      </c>
      <c r="I1313" s="0" t="s">
        <v>934</v>
      </c>
    </row>
    <row customHeight="1" ht="11.25">
      <c r="A1314" s="1854" t="s">
        <v>2291</v>
      </c>
      <c r="B1314" s="1854" t="s">
        <v>16</v>
      </c>
      <c r="C1314" s="0" t="s">
        <v>4508</v>
      </c>
      <c r="D1314" s="0" t="s">
        <v>4509</v>
      </c>
      <c r="E1314" s="0" t="s">
        <v>4510</v>
      </c>
      <c r="F1314" s="0" t="s">
        <v>2467</v>
      </c>
      <c r="G1314" s="0" t="s">
        <v>22</v>
      </c>
      <c r="H1314" s="0" t="s">
        <v>22</v>
      </c>
      <c r="I1314" s="0" t="s">
        <v>934</v>
      </c>
    </row>
    <row customHeight="1" ht="11.25">
      <c r="A1315" s="1854" t="s">
        <v>2291</v>
      </c>
      <c r="B1315" s="1854" t="s">
        <v>16</v>
      </c>
      <c r="C1315" s="0" t="s">
        <v>3126</v>
      </c>
      <c r="D1315" s="0" t="s">
        <v>3127</v>
      </c>
      <c r="E1315" s="0" t="s">
        <v>3128</v>
      </c>
      <c r="F1315" s="0" t="s">
        <v>2420</v>
      </c>
      <c r="G1315" s="0" t="s">
        <v>22</v>
      </c>
      <c r="H1315" s="0" t="s">
        <v>22</v>
      </c>
      <c r="I1315" s="0" t="s">
        <v>934</v>
      </c>
    </row>
    <row customHeight="1" ht="11.25">
      <c r="A1316" s="1854" t="s">
        <v>2291</v>
      </c>
      <c r="B1316" s="1854" t="s">
        <v>16</v>
      </c>
      <c r="C1316" s="0" t="s">
        <v>4511</v>
      </c>
      <c r="D1316" s="0" t="s">
        <v>4512</v>
      </c>
      <c r="E1316" s="0" t="s">
        <v>4513</v>
      </c>
      <c r="F1316" s="0" t="s">
        <v>2750</v>
      </c>
      <c r="G1316" s="0" t="s">
        <v>22</v>
      </c>
      <c r="H1316" s="0" t="s">
        <v>22</v>
      </c>
      <c r="I1316" s="0" t="s">
        <v>934</v>
      </c>
    </row>
    <row customHeight="1" ht="11.25">
      <c r="A1317" s="1854" t="s">
        <v>2291</v>
      </c>
      <c r="B1317" s="1854" t="s">
        <v>16</v>
      </c>
      <c r="C1317" s="0" t="s">
        <v>3137</v>
      </c>
      <c r="D1317" s="0" t="s">
        <v>3138</v>
      </c>
      <c r="E1317" s="0" t="s">
        <v>3139</v>
      </c>
      <c r="F1317" s="0" t="s">
        <v>2309</v>
      </c>
      <c r="G1317" s="0" t="s">
        <v>3140</v>
      </c>
      <c r="H1317" s="0" t="s">
        <v>22</v>
      </c>
      <c r="I1317" s="0" t="s">
        <v>934</v>
      </c>
    </row>
    <row customHeight="1" ht="11.25">
      <c r="A1318" s="1854" t="s">
        <v>2291</v>
      </c>
      <c r="B1318" s="1854" t="s">
        <v>16</v>
      </c>
      <c r="C1318" s="0" t="s">
        <v>3145</v>
      </c>
      <c r="D1318" s="0" t="s">
        <v>3146</v>
      </c>
      <c r="E1318" s="0" t="s">
        <v>3147</v>
      </c>
      <c r="F1318" s="0" t="s">
        <v>2351</v>
      </c>
      <c r="G1318" s="0" t="s">
        <v>3148</v>
      </c>
      <c r="H1318" s="0" t="s">
        <v>22</v>
      </c>
      <c r="I1318" s="0" t="s">
        <v>934</v>
      </c>
    </row>
    <row customHeight="1" ht="11.25">
      <c r="A1319" s="1854" t="s">
        <v>2291</v>
      </c>
      <c r="B1319" s="1854" t="s">
        <v>16</v>
      </c>
      <c r="C1319" s="0" t="s">
        <v>3153</v>
      </c>
      <c r="D1319" s="0" t="s">
        <v>3154</v>
      </c>
      <c r="E1319" s="0" t="s">
        <v>3155</v>
      </c>
      <c r="F1319" s="0" t="s">
        <v>2322</v>
      </c>
      <c r="G1319" s="0" t="s">
        <v>3106</v>
      </c>
      <c r="H1319" s="0" t="s">
        <v>22</v>
      </c>
      <c r="I1319" s="0" t="s">
        <v>934</v>
      </c>
    </row>
    <row customHeight="1" ht="11.25">
      <c r="A1320" s="1854" t="s">
        <v>2291</v>
      </c>
      <c r="B1320" s="1854" t="s">
        <v>16</v>
      </c>
      <c r="C1320" s="0" t="s">
        <v>3156</v>
      </c>
      <c r="D1320" s="0" t="s">
        <v>3157</v>
      </c>
      <c r="E1320" s="0" t="s">
        <v>3158</v>
      </c>
      <c r="F1320" s="0" t="s">
        <v>2351</v>
      </c>
      <c r="G1320" s="0" t="s">
        <v>22</v>
      </c>
      <c r="H1320" s="0" t="s">
        <v>22</v>
      </c>
      <c r="I1320" s="0" t="s">
        <v>934</v>
      </c>
    </row>
    <row customHeight="1" ht="11.25">
      <c r="A1321" s="1854" t="s">
        <v>2291</v>
      </c>
      <c r="B1321" s="1854" t="s">
        <v>16</v>
      </c>
      <c r="C1321" s="0" t="s">
        <v>3159</v>
      </c>
      <c r="D1321" s="0" t="s">
        <v>3160</v>
      </c>
      <c r="E1321" s="0" t="s">
        <v>3161</v>
      </c>
      <c r="F1321" s="0" t="s">
        <v>2425</v>
      </c>
      <c r="G1321" s="0" t="s">
        <v>3162</v>
      </c>
      <c r="H1321" s="0" t="s">
        <v>22</v>
      </c>
      <c r="I1321" s="0" t="s">
        <v>934</v>
      </c>
    </row>
    <row customHeight="1" ht="11.25">
      <c r="A1322" s="1854" t="s">
        <v>2291</v>
      </c>
      <c r="B1322" s="1854" t="s">
        <v>16</v>
      </c>
      <c r="C1322" s="0" t="s">
        <v>3174</v>
      </c>
      <c r="D1322" s="0" t="s">
        <v>3175</v>
      </c>
      <c r="E1322" s="0" t="s">
        <v>3176</v>
      </c>
      <c r="F1322" s="0" t="s">
        <v>2467</v>
      </c>
      <c r="G1322" s="0" t="s">
        <v>3177</v>
      </c>
      <c r="H1322" s="0" t="s">
        <v>22</v>
      </c>
      <c r="I1322" s="0" t="s">
        <v>934</v>
      </c>
    </row>
    <row customHeight="1" ht="11.25">
      <c r="A1323" s="1854" t="s">
        <v>2291</v>
      </c>
      <c r="B1323" s="1854" t="s">
        <v>16</v>
      </c>
      <c r="C1323" s="0" t="s">
        <v>3178</v>
      </c>
      <c r="D1323" s="0" t="s">
        <v>3179</v>
      </c>
      <c r="E1323" s="0" t="s">
        <v>3180</v>
      </c>
      <c r="F1323" s="0" t="s">
        <v>2309</v>
      </c>
      <c r="G1323" s="0" t="s">
        <v>3181</v>
      </c>
      <c r="H1323" s="0" t="s">
        <v>22</v>
      </c>
      <c r="I1323" s="0" t="s">
        <v>934</v>
      </c>
    </row>
    <row customHeight="1" ht="11.25">
      <c r="A1324" s="1854" t="s">
        <v>2291</v>
      </c>
      <c r="B1324" s="1854" t="s">
        <v>16</v>
      </c>
      <c r="C1324" s="0" t="s">
        <v>3182</v>
      </c>
      <c r="D1324" s="0" t="s">
        <v>3183</v>
      </c>
      <c r="E1324" s="0" t="s">
        <v>3184</v>
      </c>
      <c r="F1324" s="0" t="s">
        <v>2425</v>
      </c>
      <c r="G1324" s="0" t="s">
        <v>3185</v>
      </c>
      <c r="H1324" s="0" t="s">
        <v>22</v>
      </c>
      <c r="I1324" s="0" t="s">
        <v>934</v>
      </c>
    </row>
    <row customHeight="1" ht="11.25">
      <c r="A1325" s="1854" t="s">
        <v>2291</v>
      </c>
      <c r="B1325" s="1854" t="s">
        <v>16</v>
      </c>
      <c r="C1325" s="0" t="s">
        <v>3186</v>
      </c>
      <c r="D1325" s="0" t="s">
        <v>3187</v>
      </c>
      <c r="E1325" s="0" t="s">
        <v>3188</v>
      </c>
      <c r="F1325" s="0" t="s">
        <v>2425</v>
      </c>
      <c r="G1325" s="0" t="s">
        <v>3189</v>
      </c>
      <c r="H1325" s="0" t="s">
        <v>22</v>
      </c>
      <c r="I1325" s="0" t="s">
        <v>934</v>
      </c>
    </row>
    <row customHeight="1" ht="11.25">
      <c r="A1326" s="1854" t="s">
        <v>2291</v>
      </c>
      <c r="B1326" s="1854" t="s">
        <v>16</v>
      </c>
      <c r="C1326" s="0" t="s">
        <v>4514</v>
      </c>
      <c r="D1326" s="0" t="s">
        <v>4515</v>
      </c>
      <c r="E1326" s="0" t="s">
        <v>4516</v>
      </c>
      <c r="F1326" s="0" t="s">
        <v>2377</v>
      </c>
      <c r="G1326" s="0" t="s">
        <v>22</v>
      </c>
      <c r="H1326" s="0" t="s">
        <v>22</v>
      </c>
      <c r="I1326" s="0" t="s">
        <v>934</v>
      </c>
    </row>
    <row customHeight="1" ht="11.25">
      <c r="A1327" s="1854" t="s">
        <v>2291</v>
      </c>
      <c r="B1327" s="1854" t="s">
        <v>16</v>
      </c>
      <c r="C1327" s="0" t="s">
        <v>4517</v>
      </c>
      <c r="D1327" s="0" t="s">
        <v>4518</v>
      </c>
      <c r="E1327" s="0" t="s">
        <v>4519</v>
      </c>
      <c r="F1327" s="0" t="s">
        <v>2405</v>
      </c>
      <c r="G1327" s="0" t="s">
        <v>22</v>
      </c>
      <c r="H1327" s="0" t="s">
        <v>22</v>
      </c>
      <c r="I1327" s="0" t="s">
        <v>934</v>
      </c>
    </row>
    <row customHeight="1" ht="11.25">
      <c r="A1328" s="1854" t="s">
        <v>2291</v>
      </c>
      <c r="B1328" s="1854" t="s">
        <v>16</v>
      </c>
      <c r="C1328" s="0" t="s">
        <v>4520</v>
      </c>
      <c r="D1328" s="0" t="s">
        <v>4521</v>
      </c>
      <c r="E1328" s="0" t="s">
        <v>4522</v>
      </c>
      <c r="F1328" s="0" t="s">
        <v>2401</v>
      </c>
      <c r="G1328" s="0" t="s">
        <v>4523</v>
      </c>
      <c r="H1328" s="0" t="s">
        <v>22</v>
      </c>
      <c r="I1328" s="0" t="s">
        <v>934</v>
      </c>
    </row>
    <row customHeight="1" ht="11.25">
      <c r="A1329" s="1854" t="s">
        <v>2291</v>
      </c>
      <c r="B1329" s="1854" t="s">
        <v>16</v>
      </c>
      <c r="C1329" s="0" t="s">
        <v>3201</v>
      </c>
      <c r="D1329" s="0" t="s">
        <v>3202</v>
      </c>
      <c r="E1329" s="0" t="s">
        <v>3203</v>
      </c>
      <c r="F1329" s="0" t="s">
        <v>2377</v>
      </c>
      <c r="G1329" s="0" t="s">
        <v>3204</v>
      </c>
      <c r="H1329" s="0" t="s">
        <v>22</v>
      </c>
      <c r="I1329" s="0" t="s">
        <v>934</v>
      </c>
    </row>
    <row customHeight="1" ht="11.25">
      <c r="A1330" s="1854" t="s">
        <v>2291</v>
      </c>
      <c r="B1330" s="1854" t="s">
        <v>16</v>
      </c>
      <c r="C1330" s="0" t="s">
        <v>4524</v>
      </c>
      <c r="D1330" s="0" t="s">
        <v>4525</v>
      </c>
      <c r="E1330" s="0" t="s">
        <v>4526</v>
      </c>
      <c r="F1330" s="0" t="s">
        <v>2377</v>
      </c>
      <c r="G1330" s="0" t="s">
        <v>22</v>
      </c>
      <c r="H1330" s="0" t="s">
        <v>22</v>
      </c>
      <c r="I1330" s="0" t="s">
        <v>934</v>
      </c>
    </row>
    <row customHeight="1" ht="11.25">
      <c r="A1331" s="1854" t="s">
        <v>2291</v>
      </c>
      <c r="B1331" s="1854" t="s">
        <v>16</v>
      </c>
      <c r="C1331" s="0" t="s">
        <v>4527</v>
      </c>
      <c r="D1331" s="0" t="s">
        <v>4528</v>
      </c>
      <c r="E1331" s="0" t="s">
        <v>4529</v>
      </c>
      <c r="F1331" s="0" t="s">
        <v>2467</v>
      </c>
      <c r="G1331" s="0" t="s">
        <v>4530</v>
      </c>
      <c r="H1331" s="0" t="s">
        <v>22</v>
      </c>
      <c r="I1331" s="0" t="s">
        <v>934</v>
      </c>
    </row>
    <row customHeight="1" ht="11.25">
      <c r="A1332" s="1854" t="s">
        <v>2291</v>
      </c>
      <c r="B1332" s="1854" t="s">
        <v>16</v>
      </c>
      <c r="C1332" s="0" t="s">
        <v>4531</v>
      </c>
      <c r="D1332" s="0" t="s">
        <v>4532</v>
      </c>
      <c r="E1332" s="0" t="s">
        <v>4533</v>
      </c>
      <c r="F1332" s="0" t="s">
        <v>2640</v>
      </c>
      <c r="G1332" s="0" t="s">
        <v>22</v>
      </c>
      <c r="H1332" s="0" t="s">
        <v>22</v>
      </c>
      <c r="I1332" s="0" t="s">
        <v>934</v>
      </c>
    </row>
    <row customHeight="1" ht="11.25">
      <c r="A1333" s="1854" t="s">
        <v>2291</v>
      </c>
      <c r="B1333" s="1854" t="s">
        <v>16</v>
      </c>
      <c r="C1333" s="0" t="s">
        <v>3224</v>
      </c>
      <c r="D1333" s="0" t="s">
        <v>3225</v>
      </c>
      <c r="E1333" s="0" t="s">
        <v>3226</v>
      </c>
      <c r="F1333" s="0" t="s">
        <v>2640</v>
      </c>
      <c r="G1333" s="0" t="s">
        <v>3227</v>
      </c>
      <c r="H1333" s="0" t="s">
        <v>3228</v>
      </c>
      <c r="I1333" s="0" t="s">
        <v>934</v>
      </c>
    </row>
    <row customHeight="1" ht="11.25">
      <c r="A1334" s="1854" t="s">
        <v>2291</v>
      </c>
      <c r="B1334" s="1854" t="s">
        <v>16</v>
      </c>
      <c r="C1334" s="0" t="s">
        <v>3229</v>
      </c>
      <c r="D1334" s="0" t="s">
        <v>3230</v>
      </c>
      <c r="E1334" s="0" t="s">
        <v>3231</v>
      </c>
      <c r="F1334" s="0" t="s">
        <v>2313</v>
      </c>
      <c r="G1334" s="0" t="s">
        <v>3232</v>
      </c>
      <c r="H1334" s="0" t="s">
        <v>22</v>
      </c>
      <c r="I1334" s="0" t="s">
        <v>934</v>
      </c>
    </row>
    <row customHeight="1" ht="11.25">
      <c r="A1335" s="1854" t="s">
        <v>2291</v>
      </c>
      <c r="B1335" s="1854" t="s">
        <v>16</v>
      </c>
      <c r="C1335" s="0" t="s">
        <v>3233</v>
      </c>
      <c r="D1335" s="0" t="s">
        <v>3234</v>
      </c>
      <c r="E1335" s="0" t="s">
        <v>3235</v>
      </c>
      <c r="F1335" s="0" t="s">
        <v>2295</v>
      </c>
      <c r="G1335" s="0" t="s">
        <v>3236</v>
      </c>
      <c r="H1335" s="0" t="s">
        <v>22</v>
      </c>
      <c r="I1335" s="0" t="s">
        <v>934</v>
      </c>
    </row>
    <row customHeight="1" ht="11.25">
      <c r="A1336" s="1854" t="s">
        <v>2291</v>
      </c>
      <c r="B1336" s="1854" t="s">
        <v>16</v>
      </c>
      <c r="C1336" s="0" t="s">
        <v>4538</v>
      </c>
      <c r="D1336" s="0" t="s">
        <v>4539</v>
      </c>
      <c r="E1336" s="0" t="s">
        <v>4540</v>
      </c>
      <c r="F1336" s="0" t="s">
        <v>2322</v>
      </c>
      <c r="G1336" s="0" t="s">
        <v>22</v>
      </c>
      <c r="H1336" s="0" t="s">
        <v>22</v>
      </c>
      <c r="I1336" s="0" t="s">
        <v>934</v>
      </c>
    </row>
    <row customHeight="1" ht="11.25">
      <c r="A1337" s="1854" t="s">
        <v>2291</v>
      </c>
      <c r="B1337" s="1854" t="s">
        <v>16</v>
      </c>
      <c r="C1337" s="0" t="s">
        <v>3237</v>
      </c>
      <c r="D1337" s="0" t="s">
        <v>3238</v>
      </c>
      <c r="E1337" s="0" t="s">
        <v>3239</v>
      </c>
      <c r="F1337" s="0" t="s">
        <v>2295</v>
      </c>
      <c r="G1337" s="0" t="s">
        <v>3240</v>
      </c>
      <c r="H1337" s="0" t="s">
        <v>22</v>
      </c>
      <c r="I1337" s="0" t="s">
        <v>934</v>
      </c>
    </row>
    <row customHeight="1" ht="11.25">
      <c r="A1338" s="1854" t="s">
        <v>2291</v>
      </c>
      <c r="B1338" s="1854" t="s">
        <v>16</v>
      </c>
      <c r="C1338" s="0" t="s">
        <v>3244</v>
      </c>
      <c r="D1338" s="0" t="s">
        <v>3245</v>
      </c>
      <c r="E1338" s="0" t="s">
        <v>3246</v>
      </c>
      <c r="F1338" s="0" t="s">
        <v>2351</v>
      </c>
      <c r="G1338" s="0" t="s">
        <v>3247</v>
      </c>
      <c r="H1338" s="0" t="s">
        <v>22</v>
      </c>
      <c r="I1338" s="0" t="s">
        <v>934</v>
      </c>
    </row>
    <row customHeight="1" ht="11.25">
      <c r="A1339" s="1854" t="s">
        <v>2291</v>
      </c>
      <c r="B1339" s="1854" t="s">
        <v>16</v>
      </c>
      <c r="C1339" s="0" t="s">
        <v>3248</v>
      </c>
      <c r="D1339" s="0" t="s">
        <v>3249</v>
      </c>
      <c r="E1339" s="0" t="s">
        <v>3250</v>
      </c>
      <c r="F1339" s="0" t="s">
        <v>2295</v>
      </c>
      <c r="G1339" s="0" t="s">
        <v>2314</v>
      </c>
      <c r="H1339" s="0" t="s">
        <v>22</v>
      </c>
      <c r="I1339" s="0" t="s">
        <v>934</v>
      </c>
    </row>
    <row customHeight="1" ht="11.25">
      <c r="A1340" s="1854" t="s">
        <v>2291</v>
      </c>
      <c r="B1340" s="1854" t="s">
        <v>16</v>
      </c>
      <c r="C1340" s="0" t="s">
        <v>3266</v>
      </c>
      <c r="D1340" s="0" t="s">
        <v>3267</v>
      </c>
      <c r="E1340" s="0" t="s">
        <v>3268</v>
      </c>
      <c r="F1340" s="0" t="s">
        <v>2295</v>
      </c>
      <c r="G1340" s="0" t="s">
        <v>3269</v>
      </c>
      <c r="H1340" s="0" t="s">
        <v>22</v>
      </c>
      <c r="I1340" s="0" t="s">
        <v>934</v>
      </c>
    </row>
    <row customHeight="1" ht="11.25">
      <c r="A1341" s="1854" t="s">
        <v>2291</v>
      </c>
      <c r="B1341" s="1854" t="s">
        <v>16</v>
      </c>
      <c r="C1341" s="0" t="s">
        <v>3270</v>
      </c>
      <c r="D1341" s="0" t="s">
        <v>3271</v>
      </c>
      <c r="E1341" s="0" t="s">
        <v>3272</v>
      </c>
      <c r="F1341" s="0" t="s">
        <v>2425</v>
      </c>
      <c r="G1341" s="0" t="s">
        <v>3273</v>
      </c>
      <c r="H1341" s="0" t="s">
        <v>22</v>
      </c>
      <c r="I1341" s="0" t="s">
        <v>934</v>
      </c>
    </row>
    <row customHeight="1" ht="11.25">
      <c r="A1342" s="1854" t="s">
        <v>2291</v>
      </c>
      <c r="B1342" s="1854" t="s">
        <v>16</v>
      </c>
      <c r="C1342" s="0" t="s">
        <v>3274</v>
      </c>
      <c r="D1342" s="0" t="s">
        <v>3275</v>
      </c>
      <c r="E1342" s="0" t="s">
        <v>3276</v>
      </c>
      <c r="F1342" s="0" t="s">
        <v>3277</v>
      </c>
      <c r="G1342" s="0" t="s">
        <v>22</v>
      </c>
      <c r="H1342" s="0" t="s">
        <v>22</v>
      </c>
      <c r="I1342" s="0" t="s">
        <v>934</v>
      </c>
    </row>
    <row customHeight="1" ht="11.25">
      <c r="A1343" s="1854" t="s">
        <v>2291</v>
      </c>
      <c r="B1343" s="1854" t="s">
        <v>16</v>
      </c>
      <c r="C1343" s="0" t="s">
        <v>3286</v>
      </c>
      <c r="D1343" s="0" t="s">
        <v>3287</v>
      </c>
      <c r="E1343" s="0" t="s">
        <v>3288</v>
      </c>
      <c r="F1343" s="0" t="s">
        <v>2351</v>
      </c>
      <c r="G1343" s="0" t="s">
        <v>22</v>
      </c>
      <c r="H1343" s="0" t="s">
        <v>22</v>
      </c>
      <c r="I1343" s="0" t="s">
        <v>934</v>
      </c>
    </row>
    <row customHeight="1" ht="11.25">
      <c r="A1344" s="1854" t="s">
        <v>2291</v>
      </c>
      <c r="B1344" s="1854" t="s">
        <v>16</v>
      </c>
      <c r="C1344" s="0" t="s">
        <v>3296</v>
      </c>
      <c r="D1344" s="0" t="s">
        <v>3297</v>
      </c>
      <c r="E1344" s="0" t="s">
        <v>3298</v>
      </c>
      <c r="F1344" s="0" t="s">
        <v>2351</v>
      </c>
      <c r="G1344" s="0" t="s">
        <v>22</v>
      </c>
      <c r="H1344" s="0" t="s">
        <v>22</v>
      </c>
      <c r="I1344" s="0" t="s">
        <v>934</v>
      </c>
    </row>
    <row customHeight="1" ht="11.25">
      <c r="A1345" s="1854" t="s">
        <v>2291</v>
      </c>
      <c r="B1345" s="1854" t="s">
        <v>16</v>
      </c>
      <c r="C1345" s="0" t="s">
        <v>3302</v>
      </c>
      <c r="D1345" s="0" t="s">
        <v>3303</v>
      </c>
      <c r="E1345" s="0" t="s">
        <v>3304</v>
      </c>
      <c r="F1345" s="0" t="s">
        <v>3305</v>
      </c>
      <c r="G1345" s="0" t="s">
        <v>22</v>
      </c>
      <c r="H1345" s="0" t="s">
        <v>22</v>
      </c>
      <c r="I1345" s="0" t="s">
        <v>934</v>
      </c>
    </row>
    <row customHeight="1" ht="11.25">
      <c r="A1346" s="1854" t="s">
        <v>2291</v>
      </c>
      <c r="B1346" s="1854" t="s">
        <v>16</v>
      </c>
      <c r="C1346" s="0" t="s">
        <v>4541</v>
      </c>
      <c r="D1346" s="0" t="s">
        <v>4542</v>
      </c>
      <c r="E1346" s="0" t="s">
        <v>4543</v>
      </c>
      <c r="F1346" s="0" t="s">
        <v>2389</v>
      </c>
      <c r="G1346" s="0" t="s">
        <v>22</v>
      </c>
      <c r="H1346" s="0" t="s">
        <v>22</v>
      </c>
      <c r="I1346" s="0" t="s">
        <v>934</v>
      </c>
    </row>
    <row customHeight="1" ht="11.25">
      <c r="A1347" s="1854" t="s">
        <v>2291</v>
      </c>
      <c r="B1347" s="1854" t="s">
        <v>16</v>
      </c>
      <c r="C1347" s="0" t="s">
        <v>4718</v>
      </c>
      <c r="D1347" s="0" t="s">
        <v>4719</v>
      </c>
      <c r="E1347" s="0" t="s">
        <v>4720</v>
      </c>
      <c r="F1347" s="0" t="s">
        <v>2788</v>
      </c>
      <c r="G1347" s="0" t="s">
        <v>22</v>
      </c>
      <c r="H1347" s="0" t="s">
        <v>22</v>
      </c>
      <c r="I1347" s="0" t="s">
        <v>934</v>
      </c>
    </row>
    <row customHeight="1" ht="11.25">
      <c r="A1348" s="1854" t="s">
        <v>2291</v>
      </c>
      <c r="B1348" s="1854" t="s">
        <v>16</v>
      </c>
      <c r="C1348" s="0" t="s">
        <v>3306</v>
      </c>
      <c r="D1348" s="0" t="s">
        <v>3307</v>
      </c>
      <c r="E1348" s="0" t="s">
        <v>3308</v>
      </c>
      <c r="F1348" s="0" t="s">
        <v>2467</v>
      </c>
      <c r="G1348" s="0" t="s">
        <v>22</v>
      </c>
      <c r="H1348" s="0" t="s">
        <v>22</v>
      </c>
      <c r="I1348" s="0" t="s">
        <v>934</v>
      </c>
    </row>
    <row customHeight="1" ht="11.25">
      <c r="A1349" s="1854" t="s">
        <v>2291</v>
      </c>
      <c r="B1349" s="1854" t="s">
        <v>16</v>
      </c>
      <c r="C1349" s="0" t="s">
        <v>3328</v>
      </c>
      <c r="D1349" s="0" t="s">
        <v>3329</v>
      </c>
      <c r="E1349" s="0" t="s">
        <v>3330</v>
      </c>
      <c r="F1349" s="0" t="s">
        <v>2416</v>
      </c>
      <c r="G1349" s="0" t="s">
        <v>22</v>
      </c>
      <c r="H1349" s="0" t="s">
        <v>22</v>
      </c>
      <c r="I1349" s="0" t="s">
        <v>934</v>
      </c>
    </row>
    <row customHeight="1" ht="11.25">
      <c r="A1350" s="1854" t="s">
        <v>2291</v>
      </c>
      <c r="B1350" s="1854" t="s">
        <v>16</v>
      </c>
      <c r="C1350" s="0" t="s">
        <v>3337</v>
      </c>
      <c r="D1350" s="0" t="s">
        <v>3338</v>
      </c>
      <c r="E1350" s="0" t="s">
        <v>3339</v>
      </c>
      <c r="F1350" s="0" t="s">
        <v>2351</v>
      </c>
      <c r="G1350" s="0" t="s">
        <v>22</v>
      </c>
      <c r="H1350" s="0" t="s">
        <v>22</v>
      </c>
      <c r="I1350" s="0" t="s">
        <v>934</v>
      </c>
    </row>
    <row customHeight="1" ht="11.25">
      <c r="A1351" s="1854" t="s">
        <v>2291</v>
      </c>
      <c r="B1351" s="1854" t="s">
        <v>16</v>
      </c>
      <c r="C1351" s="0" t="s">
        <v>4721</v>
      </c>
      <c r="D1351" s="0" t="s">
        <v>4722</v>
      </c>
      <c r="E1351" s="0" t="s">
        <v>4723</v>
      </c>
      <c r="F1351" s="0" t="s">
        <v>2420</v>
      </c>
      <c r="G1351" s="0" t="s">
        <v>22</v>
      </c>
      <c r="H1351" s="0" t="s">
        <v>22</v>
      </c>
      <c r="I1351" s="0" t="s">
        <v>934</v>
      </c>
    </row>
    <row customHeight="1" ht="11.25">
      <c r="A1352" s="1854" t="s">
        <v>2291</v>
      </c>
      <c r="B1352" s="1854" t="s">
        <v>16</v>
      </c>
      <c r="C1352" s="0" t="s">
        <v>4544</v>
      </c>
      <c r="D1352" s="0" t="s">
        <v>4545</v>
      </c>
      <c r="E1352" s="0" t="s">
        <v>4546</v>
      </c>
      <c r="F1352" s="0" t="s">
        <v>2377</v>
      </c>
      <c r="G1352" s="0" t="s">
        <v>22</v>
      </c>
      <c r="H1352" s="0" t="s">
        <v>22</v>
      </c>
      <c r="I1352" s="0" t="s">
        <v>934</v>
      </c>
    </row>
    <row customHeight="1" ht="11.25">
      <c r="A1353" s="1854" t="s">
        <v>2291</v>
      </c>
      <c r="B1353" s="1854" t="s">
        <v>16</v>
      </c>
      <c r="C1353" s="0" t="s">
        <v>3384</v>
      </c>
      <c r="D1353" s="0" t="s">
        <v>3385</v>
      </c>
      <c r="E1353" s="0" t="s">
        <v>3386</v>
      </c>
      <c r="F1353" s="0" t="s">
        <v>3387</v>
      </c>
      <c r="G1353" s="0" t="s">
        <v>22</v>
      </c>
      <c r="H1353" s="0" t="s">
        <v>22</v>
      </c>
      <c r="I1353" s="0" t="s">
        <v>934</v>
      </c>
    </row>
    <row customHeight="1" ht="11.25">
      <c r="A1354" s="1854" t="s">
        <v>2291</v>
      </c>
      <c r="B1354" s="1854" t="s">
        <v>16</v>
      </c>
      <c r="C1354" s="0" t="s">
        <v>3398</v>
      </c>
      <c r="D1354" s="0" t="s">
        <v>3399</v>
      </c>
      <c r="E1354" s="0" t="s">
        <v>3400</v>
      </c>
      <c r="F1354" s="0" t="s">
        <v>2401</v>
      </c>
      <c r="G1354" s="0" t="s">
        <v>22</v>
      </c>
      <c r="H1354" s="0" t="s">
        <v>3401</v>
      </c>
      <c r="I1354" s="0" t="s">
        <v>934</v>
      </c>
    </row>
    <row customHeight="1" ht="11.25">
      <c r="A1355" s="1854" t="s">
        <v>2291</v>
      </c>
      <c r="B1355" s="1854" t="s">
        <v>16</v>
      </c>
      <c r="C1355" s="0" t="s">
        <v>3408</v>
      </c>
      <c r="D1355" s="0" t="s">
        <v>3409</v>
      </c>
      <c r="E1355" s="0" t="s">
        <v>3410</v>
      </c>
      <c r="F1355" s="0" t="s">
        <v>2313</v>
      </c>
      <c r="G1355" s="0" t="s">
        <v>22</v>
      </c>
      <c r="H1355" s="0" t="s">
        <v>22</v>
      </c>
      <c r="I1355" s="0" t="s">
        <v>934</v>
      </c>
    </row>
    <row customHeight="1" ht="11.25">
      <c r="A1356" s="1854" t="s">
        <v>2291</v>
      </c>
      <c r="B1356" s="1854" t="s">
        <v>16</v>
      </c>
      <c r="C1356" s="0" t="s">
        <v>4553</v>
      </c>
      <c r="D1356" s="0" t="s">
        <v>4554</v>
      </c>
      <c r="E1356" s="0" t="s">
        <v>4555</v>
      </c>
      <c r="F1356" s="0" t="s">
        <v>2318</v>
      </c>
      <c r="G1356" s="0" t="s">
        <v>22</v>
      </c>
      <c r="H1356" s="0" t="s">
        <v>22</v>
      </c>
      <c r="I1356" s="0" t="s">
        <v>934</v>
      </c>
    </row>
    <row customHeight="1" ht="11.25">
      <c r="A1357" s="1854" t="s">
        <v>2291</v>
      </c>
      <c r="B1357" s="1854" t="s">
        <v>16</v>
      </c>
      <c r="C1357" s="0" t="s">
        <v>4724</v>
      </c>
      <c r="D1357" s="0" t="s">
        <v>4725</v>
      </c>
      <c r="E1357" s="0" t="s">
        <v>4726</v>
      </c>
      <c r="F1357" s="0" t="s">
        <v>2295</v>
      </c>
      <c r="G1357" s="0" t="s">
        <v>22</v>
      </c>
      <c r="H1357" s="0" t="s">
        <v>22</v>
      </c>
      <c r="I1357" s="0" t="s">
        <v>934</v>
      </c>
    </row>
    <row customHeight="1" ht="11.25">
      <c r="A1358" s="1854" t="s">
        <v>2291</v>
      </c>
      <c r="B1358" s="1854" t="s">
        <v>16</v>
      </c>
      <c r="C1358" s="0" t="s">
        <v>3414</v>
      </c>
      <c r="D1358" s="0" t="s">
        <v>3415</v>
      </c>
      <c r="E1358" s="0" t="s">
        <v>3416</v>
      </c>
      <c r="F1358" s="0" t="s">
        <v>2750</v>
      </c>
      <c r="G1358" s="0" t="s">
        <v>22</v>
      </c>
      <c r="H1358" s="0" t="s">
        <v>22</v>
      </c>
      <c r="I1358" s="0" t="s">
        <v>934</v>
      </c>
    </row>
    <row customHeight="1" ht="11.25">
      <c r="A1359" s="1854" t="s">
        <v>2291</v>
      </c>
      <c r="B1359" s="1854" t="s">
        <v>16</v>
      </c>
      <c r="C1359" s="0" t="s">
        <v>4556</v>
      </c>
      <c r="D1359" s="0" t="s">
        <v>4557</v>
      </c>
      <c r="E1359" s="0" t="s">
        <v>4558</v>
      </c>
      <c r="F1359" s="0" t="s">
        <v>2313</v>
      </c>
      <c r="G1359" s="0" t="s">
        <v>22</v>
      </c>
      <c r="H1359" s="0" t="s">
        <v>22</v>
      </c>
      <c r="I1359" s="0" t="s">
        <v>934</v>
      </c>
    </row>
    <row customHeight="1" ht="11.25">
      <c r="A1360" s="1854" t="s">
        <v>2291</v>
      </c>
      <c r="B1360" s="1854" t="s">
        <v>16</v>
      </c>
      <c r="C1360" s="0" t="s">
        <v>3420</v>
      </c>
      <c r="D1360" s="0" t="s">
        <v>3421</v>
      </c>
      <c r="E1360" s="0" t="s">
        <v>3422</v>
      </c>
      <c r="F1360" s="0" t="s">
        <v>2640</v>
      </c>
      <c r="G1360" s="0" t="s">
        <v>22</v>
      </c>
      <c r="H1360" s="0" t="s">
        <v>22</v>
      </c>
      <c r="I1360" s="0" t="s">
        <v>934</v>
      </c>
    </row>
    <row customHeight="1" ht="11.25">
      <c r="A1361" s="1854" t="s">
        <v>2291</v>
      </c>
      <c r="B1361" s="1854" t="s">
        <v>16</v>
      </c>
      <c r="C1361" s="0" t="s">
        <v>4559</v>
      </c>
      <c r="D1361" s="0" t="s">
        <v>4560</v>
      </c>
      <c r="E1361" s="0" t="s">
        <v>4561</v>
      </c>
      <c r="F1361" s="0" t="s">
        <v>2295</v>
      </c>
      <c r="G1361" s="0" t="s">
        <v>22</v>
      </c>
      <c r="H1361" s="0" t="s">
        <v>22</v>
      </c>
      <c r="I1361" s="0" t="s">
        <v>934</v>
      </c>
    </row>
    <row customHeight="1" ht="11.25">
      <c r="A1362" s="1854" t="s">
        <v>2291</v>
      </c>
      <c r="B1362" s="1854" t="s">
        <v>16</v>
      </c>
      <c r="C1362" s="0" t="s">
        <v>3474</v>
      </c>
      <c r="D1362" s="0" t="s">
        <v>3475</v>
      </c>
      <c r="E1362" s="0" t="s">
        <v>3476</v>
      </c>
      <c r="F1362" s="0" t="s">
        <v>2351</v>
      </c>
      <c r="G1362" s="0" t="s">
        <v>22</v>
      </c>
      <c r="H1362" s="0" t="s">
        <v>22</v>
      </c>
      <c r="I1362" s="0" t="s">
        <v>934</v>
      </c>
    </row>
    <row customHeight="1" ht="11.25">
      <c r="A1363" s="1854" t="s">
        <v>2291</v>
      </c>
      <c r="B1363" s="1854" t="s">
        <v>16</v>
      </c>
      <c r="C1363" s="0" t="s">
        <v>4565</v>
      </c>
      <c r="D1363" s="0" t="s">
        <v>4566</v>
      </c>
      <c r="E1363" s="0" t="s">
        <v>4567</v>
      </c>
      <c r="F1363" s="0" t="s">
        <v>2295</v>
      </c>
      <c r="G1363" s="0" t="s">
        <v>22</v>
      </c>
      <c r="H1363" s="0" t="s">
        <v>22</v>
      </c>
      <c r="I1363" s="0" t="s">
        <v>934</v>
      </c>
    </row>
    <row customHeight="1" ht="11.25">
      <c r="A1364" s="1854" t="s">
        <v>2291</v>
      </c>
      <c r="B1364" s="1854" t="s">
        <v>16</v>
      </c>
      <c r="C1364" s="0" t="s">
        <v>3489</v>
      </c>
      <c r="D1364" s="0" t="s">
        <v>3490</v>
      </c>
      <c r="E1364" s="0" t="s">
        <v>3491</v>
      </c>
      <c r="F1364" s="0" t="s">
        <v>2405</v>
      </c>
      <c r="G1364" s="0" t="s">
        <v>22</v>
      </c>
      <c r="H1364" s="0" t="s">
        <v>22</v>
      </c>
      <c r="I1364" s="0" t="s">
        <v>934</v>
      </c>
    </row>
    <row customHeight="1" ht="11.25">
      <c r="A1365" s="1854" t="s">
        <v>2291</v>
      </c>
      <c r="B1365" s="1854" t="s">
        <v>16</v>
      </c>
      <c r="C1365" s="0" t="s">
        <v>4568</v>
      </c>
      <c r="D1365" s="0" t="s">
        <v>4569</v>
      </c>
      <c r="E1365" s="0" t="s">
        <v>4570</v>
      </c>
      <c r="F1365" s="0" t="s">
        <v>2405</v>
      </c>
      <c r="G1365" s="0" t="s">
        <v>22</v>
      </c>
      <c r="H1365" s="0" t="s">
        <v>22</v>
      </c>
      <c r="I1365" s="0" t="s">
        <v>934</v>
      </c>
    </row>
    <row customHeight="1" ht="11.25">
      <c r="A1366" s="1854" t="s">
        <v>2291</v>
      </c>
      <c r="B1366" s="1854" t="s">
        <v>16</v>
      </c>
      <c r="C1366" s="0" t="s">
        <v>4727</v>
      </c>
      <c r="D1366" s="0" t="s">
        <v>4728</v>
      </c>
      <c r="E1366" s="0" t="s">
        <v>4729</v>
      </c>
      <c r="F1366" s="0" t="s">
        <v>2640</v>
      </c>
      <c r="G1366" s="0" t="s">
        <v>22</v>
      </c>
      <c r="H1366" s="0" t="s">
        <v>22</v>
      </c>
      <c r="I1366" s="0" t="s">
        <v>934</v>
      </c>
    </row>
    <row customHeight="1" ht="11.25">
      <c r="A1367" s="1854" t="s">
        <v>2291</v>
      </c>
      <c r="B1367" s="1854" t="s">
        <v>16</v>
      </c>
      <c r="C1367" s="0" t="s">
        <v>3592</v>
      </c>
      <c r="D1367" s="0" t="s">
        <v>3593</v>
      </c>
      <c r="E1367" s="0" t="s">
        <v>2303</v>
      </c>
      <c r="F1367" s="0" t="s">
        <v>2526</v>
      </c>
      <c r="G1367" s="0" t="s">
        <v>22</v>
      </c>
      <c r="H1367" s="0" t="s">
        <v>22</v>
      </c>
      <c r="I1367" s="0" t="s">
        <v>934</v>
      </c>
    </row>
    <row customHeight="1" ht="11.25">
      <c r="A1368" s="1854" t="s">
        <v>2291</v>
      </c>
      <c r="B1368" s="1854" t="s">
        <v>16</v>
      </c>
      <c r="C1368" s="0" t="s">
        <v>3594</v>
      </c>
      <c r="D1368" s="0" t="s">
        <v>3595</v>
      </c>
      <c r="E1368" s="0" t="s">
        <v>2365</v>
      </c>
      <c r="F1368" s="0" t="s">
        <v>3596</v>
      </c>
      <c r="G1368" s="0" t="s">
        <v>2370</v>
      </c>
      <c r="H1368" s="0" t="s">
        <v>22</v>
      </c>
      <c r="I1368" s="0" t="s">
        <v>934</v>
      </c>
    </row>
    <row customHeight="1" ht="11.25">
      <c r="A1369" s="1854" t="s">
        <v>2291</v>
      </c>
      <c r="B1369" s="1854" t="s">
        <v>16</v>
      </c>
      <c r="C1369" s="0" t="s">
        <v>4571</v>
      </c>
      <c r="D1369" s="0" t="s">
        <v>4572</v>
      </c>
      <c r="E1369" s="0" t="s">
        <v>4573</v>
      </c>
      <c r="F1369" s="0" t="s">
        <v>3903</v>
      </c>
      <c r="G1369" s="0" t="s">
        <v>22</v>
      </c>
      <c r="H1369" s="0" t="s">
        <v>22</v>
      </c>
      <c r="I1369" s="0" t="s">
        <v>934</v>
      </c>
    </row>
    <row customHeight="1" ht="11.25">
      <c r="A1370" s="1854" t="s">
        <v>2291</v>
      </c>
      <c r="B1370" s="1854" t="s">
        <v>16</v>
      </c>
      <c r="C1370" s="0" t="s">
        <v>4730</v>
      </c>
      <c r="D1370" s="0" t="s">
        <v>4731</v>
      </c>
      <c r="E1370" s="0" t="s">
        <v>4732</v>
      </c>
      <c r="F1370" s="0" t="s">
        <v>2393</v>
      </c>
      <c r="G1370" s="0" t="s">
        <v>4733</v>
      </c>
      <c r="H1370" s="0" t="s">
        <v>22</v>
      </c>
      <c r="I1370" s="0" t="s">
        <v>934</v>
      </c>
    </row>
    <row customHeight="1" ht="11.25">
      <c r="A1371" s="1854" t="s">
        <v>2291</v>
      </c>
      <c r="B1371" s="1854" t="s">
        <v>16</v>
      </c>
      <c r="C1371" s="0" t="s">
        <v>4574</v>
      </c>
      <c r="D1371" s="0" t="s">
        <v>4575</v>
      </c>
      <c r="E1371" s="0" t="s">
        <v>4576</v>
      </c>
      <c r="F1371" s="0" t="s">
        <v>2405</v>
      </c>
      <c r="G1371" s="0" t="s">
        <v>22</v>
      </c>
      <c r="H1371" s="0" t="s">
        <v>22</v>
      </c>
      <c r="I1371" s="0" t="s">
        <v>934</v>
      </c>
    </row>
    <row customHeight="1" ht="11.25">
      <c r="A1372" s="1854" t="s">
        <v>2291</v>
      </c>
      <c r="B1372" s="1854" t="s">
        <v>16</v>
      </c>
      <c r="C1372" s="0" t="s">
        <v>3616</v>
      </c>
      <c r="D1372" s="0" t="s">
        <v>3617</v>
      </c>
      <c r="E1372" s="0" t="s">
        <v>3618</v>
      </c>
      <c r="F1372" s="0" t="s">
        <v>2405</v>
      </c>
      <c r="G1372" s="0" t="s">
        <v>3619</v>
      </c>
      <c r="H1372" s="0" t="s">
        <v>22</v>
      </c>
      <c r="I1372" s="0" t="s">
        <v>934</v>
      </c>
    </row>
    <row customHeight="1" ht="11.25">
      <c r="A1373" s="1854" t="s">
        <v>2291</v>
      </c>
      <c r="B1373" s="1854" t="s">
        <v>16</v>
      </c>
      <c r="C1373" s="0" t="s">
        <v>4582</v>
      </c>
      <c r="D1373" s="0" t="s">
        <v>4583</v>
      </c>
      <c r="E1373" s="0" t="s">
        <v>4584</v>
      </c>
      <c r="F1373" s="0" t="s">
        <v>2401</v>
      </c>
      <c r="G1373" s="0" t="s">
        <v>22</v>
      </c>
      <c r="H1373" s="0" t="s">
        <v>22</v>
      </c>
      <c r="I1373" s="0" t="s">
        <v>934</v>
      </c>
    </row>
    <row customHeight="1" ht="11.25">
      <c r="A1374" s="1854" t="s">
        <v>2291</v>
      </c>
      <c r="B1374" s="1854" t="s">
        <v>16</v>
      </c>
      <c r="C1374" s="0" t="s">
        <v>3633</v>
      </c>
      <c r="D1374" s="0" t="s">
        <v>3634</v>
      </c>
      <c r="E1374" s="0" t="s">
        <v>3635</v>
      </c>
      <c r="F1374" s="0" t="s">
        <v>2796</v>
      </c>
      <c r="G1374" s="0" t="s">
        <v>3636</v>
      </c>
      <c r="H1374" s="0" t="s">
        <v>3637</v>
      </c>
      <c r="I1374" s="0" t="s">
        <v>934</v>
      </c>
    </row>
    <row customHeight="1" ht="11.25">
      <c r="A1375" s="1854" t="s">
        <v>2291</v>
      </c>
      <c r="B1375" s="1854" t="s">
        <v>16</v>
      </c>
      <c r="C1375" s="0" t="s">
        <v>3638</v>
      </c>
      <c r="D1375" s="0" t="s">
        <v>3639</v>
      </c>
      <c r="E1375" s="0" t="s">
        <v>3640</v>
      </c>
      <c r="F1375" s="0" t="s">
        <v>2389</v>
      </c>
      <c r="G1375" s="0" t="s">
        <v>3641</v>
      </c>
      <c r="H1375" s="0" t="s">
        <v>22</v>
      </c>
      <c r="I1375" s="0" t="s">
        <v>934</v>
      </c>
    </row>
    <row customHeight="1" ht="11.25">
      <c r="A1376" s="1854" t="s">
        <v>2291</v>
      </c>
      <c r="B1376" s="1854" t="s">
        <v>16</v>
      </c>
      <c r="C1376" s="0" t="s">
        <v>3645</v>
      </c>
      <c r="D1376" s="0" t="s">
        <v>3646</v>
      </c>
      <c r="E1376" s="0" t="s">
        <v>3647</v>
      </c>
      <c r="F1376" s="0" t="s">
        <v>2401</v>
      </c>
      <c r="G1376" s="0" t="s">
        <v>3648</v>
      </c>
      <c r="H1376" s="0" t="s">
        <v>22</v>
      </c>
      <c r="I1376" s="0" t="s">
        <v>934</v>
      </c>
    </row>
    <row customHeight="1" ht="11.25">
      <c r="A1377" s="1854" t="s">
        <v>2291</v>
      </c>
      <c r="B1377" s="1854" t="s">
        <v>16</v>
      </c>
      <c r="C1377" s="0" t="s">
        <v>4734</v>
      </c>
      <c r="D1377" s="0" t="s">
        <v>4735</v>
      </c>
      <c r="E1377" s="0" t="s">
        <v>4736</v>
      </c>
      <c r="F1377" s="0" t="s">
        <v>2640</v>
      </c>
      <c r="G1377" s="0" t="s">
        <v>4737</v>
      </c>
      <c r="H1377" s="0" t="s">
        <v>22</v>
      </c>
      <c r="I1377" s="0" t="s">
        <v>934</v>
      </c>
    </row>
    <row customHeight="1" ht="11.25">
      <c r="A1378" s="1854" t="s">
        <v>2291</v>
      </c>
      <c r="B1378" s="1854" t="s">
        <v>16</v>
      </c>
      <c r="C1378" s="0" t="s">
        <v>4593</v>
      </c>
      <c r="D1378" s="0" t="s">
        <v>4594</v>
      </c>
      <c r="E1378" s="0" t="s">
        <v>4595</v>
      </c>
      <c r="F1378" s="0" t="s">
        <v>2359</v>
      </c>
      <c r="G1378" s="0" t="s">
        <v>22</v>
      </c>
      <c r="H1378" s="0" t="s">
        <v>22</v>
      </c>
      <c r="I1378" s="0" t="s">
        <v>934</v>
      </c>
    </row>
    <row customHeight="1" ht="11.25">
      <c r="A1379" s="1854" t="s">
        <v>2291</v>
      </c>
      <c r="B1379" s="1854" t="s">
        <v>16</v>
      </c>
      <c r="C1379" s="0" t="s">
        <v>3655</v>
      </c>
      <c r="D1379" s="0" t="s">
        <v>3656</v>
      </c>
      <c r="E1379" s="0" t="s">
        <v>3657</v>
      </c>
      <c r="F1379" s="0" t="s">
        <v>2389</v>
      </c>
      <c r="G1379" s="0" t="s">
        <v>22</v>
      </c>
      <c r="H1379" s="0" t="s">
        <v>22</v>
      </c>
      <c r="I1379" s="0" t="s">
        <v>934</v>
      </c>
    </row>
    <row customHeight="1" ht="11.25">
      <c r="A1380" s="1854" t="s">
        <v>2291</v>
      </c>
      <c r="B1380" s="1854" t="s">
        <v>16</v>
      </c>
      <c r="C1380" s="0" t="s">
        <v>4596</v>
      </c>
      <c r="D1380" s="0" t="s">
        <v>4597</v>
      </c>
      <c r="E1380" s="0" t="s">
        <v>4598</v>
      </c>
      <c r="F1380" s="0" t="s">
        <v>2351</v>
      </c>
      <c r="G1380" s="0" t="s">
        <v>4599</v>
      </c>
      <c r="H1380" s="0" t="s">
        <v>22</v>
      </c>
      <c r="I1380" s="0" t="s">
        <v>934</v>
      </c>
    </row>
    <row customHeight="1" ht="11.25">
      <c r="A1381" s="1854" t="s">
        <v>2291</v>
      </c>
      <c r="B1381" s="1854" t="s">
        <v>16</v>
      </c>
      <c r="C1381" s="0" t="s">
        <v>3658</v>
      </c>
      <c r="D1381" s="0" t="s">
        <v>3659</v>
      </c>
      <c r="E1381" s="0" t="s">
        <v>3660</v>
      </c>
      <c r="F1381" s="0" t="s">
        <v>3661</v>
      </c>
      <c r="G1381" s="0" t="s">
        <v>22</v>
      </c>
      <c r="H1381" s="0" t="s">
        <v>22</v>
      </c>
      <c r="I1381" s="0" t="s">
        <v>934</v>
      </c>
    </row>
    <row customHeight="1" ht="11.25">
      <c r="A1382" s="1854" t="s">
        <v>2291</v>
      </c>
      <c r="B1382" s="1854" t="s">
        <v>16</v>
      </c>
      <c r="C1382" s="0" t="s">
        <v>4600</v>
      </c>
      <c r="D1382" s="0" t="s">
        <v>4601</v>
      </c>
      <c r="E1382" s="0" t="s">
        <v>3660</v>
      </c>
      <c r="F1382" s="0" t="s">
        <v>4602</v>
      </c>
      <c r="G1382" s="0" t="s">
        <v>4603</v>
      </c>
      <c r="H1382" s="0" t="s">
        <v>22</v>
      </c>
      <c r="I1382" s="0" t="s">
        <v>934</v>
      </c>
    </row>
    <row customHeight="1" ht="11.25">
      <c r="A1383" s="1854" t="s">
        <v>2291</v>
      </c>
      <c r="B1383" s="1854" t="s">
        <v>16</v>
      </c>
      <c r="C1383" s="0" t="s">
        <v>3676</v>
      </c>
      <c r="D1383" s="0" t="s">
        <v>3677</v>
      </c>
      <c r="E1383" s="0" t="s">
        <v>3660</v>
      </c>
      <c r="F1383" s="0" t="s">
        <v>3678</v>
      </c>
      <c r="G1383" s="0" t="s">
        <v>22</v>
      </c>
      <c r="H1383" s="0" t="s">
        <v>22</v>
      </c>
      <c r="I1383" s="0" t="s">
        <v>934</v>
      </c>
    </row>
    <row customHeight="1" ht="11.25">
      <c r="A1384" s="1854" t="s">
        <v>2291</v>
      </c>
      <c r="B1384" s="1854" t="s">
        <v>16</v>
      </c>
      <c r="C1384" s="0" t="s">
        <v>3691</v>
      </c>
      <c r="D1384" s="0" t="s">
        <v>3692</v>
      </c>
      <c r="E1384" s="0" t="s">
        <v>3693</v>
      </c>
      <c r="F1384" s="0" t="s">
        <v>2727</v>
      </c>
      <c r="G1384" s="0" t="s">
        <v>3694</v>
      </c>
      <c r="H1384" s="0" t="s">
        <v>22</v>
      </c>
      <c r="I1384" s="0" t="s">
        <v>934</v>
      </c>
    </row>
    <row customHeight="1" ht="11.25">
      <c r="A1385" s="1854" t="s">
        <v>2291</v>
      </c>
      <c r="B1385" s="1854" t="s">
        <v>16</v>
      </c>
      <c r="C1385" s="0" t="s">
        <v>3695</v>
      </c>
      <c r="D1385" s="0" t="s">
        <v>3696</v>
      </c>
      <c r="E1385" s="0" t="s">
        <v>3693</v>
      </c>
      <c r="F1385" s="0" t="s">
        <v>3697</v>
      </c>
      <c r="G1385" s="0" t="s">
        <v>3694</v>
      </c>
      <c r="H1385" s="0" t="s">
        <v>22</v>
      </c>
      <c r="I1385" s="0" t="s">
        <v>934</v>
      </c>
    </row>
    <row customHeight="1" ht="11.25">
      <c r="A1386" s="1854" t="s">
        <v>2291</v>
      </c>
      <c r="B1386" s="1854" t="s">
        <v>16</v>
      </c>
      <c r="C1386" s="0" t="s">
        <v>3728</v>
      </c>
      <c r="D1386" s="0" t="s">
        <v>3729</v>
      </c>
      <c r="E1386" s="0" t="s">
        <v>3730</v>
      </c>
      <c r="F1386" s="0" t="s">
        <v>2295</v>
      </c>
      <c r="G1386" s="0" t="s">
        <v>2797</v>
      </c>
      <c r="H1386" s="0" t="s">
        <v>22</v>
      </c>
      <c r="I1386" s="0" t="s">
        <v>934</v>
      </c>
    </row>
    <row customHeight="1" ht="11.25">
      <c r="A1387" s="1854" t="s">
        <v>2291</v>
      </c>
      <c r="B1387" s="1854" t="s">
        <v>16</v>
      </c>
      <c r="C1387" s="0" t="s">
        <v>3741</v>
      </c>
      <c r="D1387" s="0" t="s">
        <v>3742</v>
      </c>
      <c r="E1387" s="0" t="s">
        <v>3743</v>
      </c>
      <c r="F1387" s="0" t="s">
        <v>3744</v>
      </c>
      <c r="G1387" s="0" t="s">
        <v>22</v>
      </c>
      <c r="H1387" s="0" t="s">
        <v>3745</v>
      </c>
      <c r="I1387" s="0" t="s">
        <v>934</v>
      </c>
    </row>
    <row customHeight="1" ht="11.25">
      <c r="A1388" s="1854" t="s">
        <v>2291</v>
      </c>
      <c r="B1388" s="1854" t="s">
        <v>16</v>
      </c>
      <c r="C1388" s="0" t="s">
        <v>4738</v>
      </c>
      <c r="D1388" s="0" t="s">
        <v>4739</v>
      </c>
      <c r="E1388" s="0" t="s">
        <v>4740</v>
      </c>
      <c r="F1388" s="0" t="s">
        <v>3833</v>
      </c>
      <c r="G1388" s="0" t="s">
        <v>22</v>
      </c>
      <c r="H1388" s="0" t="s">
        <v>22</v>
      </c>
      <c r="I1388" s="0" t="s">
        <v>934</v>
      </c>
    </row>
    <row customHeight="1" ht="11.25">
      <c r="A1389" s="1854" t="s">
        <v>2291</v>
      </c>
      <c r="B1389" s="1854" t="s">
        <v>16</v>
      </c>
      <c r="C1389" s="0" t="s">
        <v>3751</v>
      </c>
      <c r="D1389" s="0" t="s">
        <v>3752</v>
      </c>
      <c r="E1389" s="0" t="s">
        <v>3753</v>
      </c>
      <c r="F1389" s="0" t="s">
        <v>2295</v>
      </c>
      <c r="G1389" s="0" t="s">
        <v>22</v>
      </c>
      <c r="H1389" s="0" t="s">
        <v>22</v>
      </c>
      <c r="I1389" s="0" t="s">
        <v>934</v>
      </c>
    </row>
    <row customHeight="1" ht="11.25">
      <c r="A1390" s="1854" t="s">
        <v>2291</v>
      </c>
      <c r="B1390" s="1854" t="s">
        <v>16</v>
      </c>
      <c r="C1390" s="0" t="s">
        <v>3754</v>
      </c>
      <c r="D1390" s="0" t="s">
        <v>3755</v>
      </c>
      <c r="E1390" s="0" t="s">
        <v>3756</v>
      </c>
      <c r="F1390" s="0" t="s">
        <v>2405</v>
      </c>
      <c r="G1390" s="0" t="s">
        <v>3757</v>
      </c>
      <c r="H1390" s="0" t="s">
        <v>3758</v>
      </c>
      <c r="I1390" s="0" t="s">
        <v>934</v>
      </c>
    </row>
    <row customHeight="1" ht="11.25">
      <c r="A1391" s="1854" t="s">
        <v>2291</v>
      </c>
      <c r="B1391" s="1854" t="s">
        <v>16</v>
      </c>
      <c r="C1391" s="0" t="s">
        <v>4608</v>
      </c>
      <c r="D1391" s="0" t="s">
        <v>4609</v>
      </c>
      <c r="E1391" s="0" t="s">
        <v>4610</v>
      </c>
      <c r="F1391" s="0" t="s">
        <v>2405</v>
      </c>
      <c r="G1391" s="0" t="s">
        <v>22</v>
      </c>
      <c r="H1391" s="0" t="s">
        <v>22</v>
      </c>
      <c r="I1391" s="0" t="s">
        <v>934</v>
      </c>
    </row>
    <row customHeight="1" ht="11.25">
      <c r="A1392" s="1854" t="s">
        <v>2291</v>
      </c>
      <c r="B1392" s="1854" t="s">
        <v>16</v>
      </c>
      <c r="C1392" s="0" t="s">
        <v>3763</v>
      </c>
      <c r="D1392" s="0" t="s">
        <v>3764</v>
      </c>
      <c r="E1392" s="0" t="s">
        <v>3765</v>
      </c>
      <c r="F1392" s="0" t="s">
        <v>2393</v>
      </c>
      <c r="G1392" s="0" t="s">
        <v>22</v>
      </c>
      <c r="H1392" s="0" t="s">
        <v>22</v>
      </c>
      <c r="I1392" s="0" t="s">
        <v>934</v>
      </c>
    </row>
    <row customHeight="1" ht="11.25">
      <c r="A1393" s="1854" t="s">
        <v>2291</v>
      </c>
      <c r="B1393" s="1854" t="s">
        <v>16</v>
      </c>
      <c r="C1393" s="0" t="s">
        <v>3769</v>
      </c>
      <c r="D1393" s="0" t="s">
        <v>3770</v>
      </c>
      <c r="E1393" s="0" t="s">
        <v>3771</v>
      </c>
      <c r="F1393" s="0" t="s">
        <v>2389</v>
      </c>
      <c r="G1393" s="0" t="s">
        <v>22</v>
      </c>
      <c r="H1393" s="0" t="s">
        <v>22</v>
      </c>
      <c r="I1393" s="0" t="s">
        <v>934</v>
      </c>
    </row>
    <row customHeight="1" ht="11.25">
      <c r="A1394" s="1854" t="s">
        <v>2291</v>
      </c>
      <c r="B1394" s="1854" t="s">
        <v>16</v>
      </c>
      <c r="C1394" s="0" t="s">
        <v>3782</v>
      </c>
      <c r="D1394" s="0" t="s">
        <v>3783</v>
      </c>
      <c r="E1394" s="0" t="s">
        <v>3784</v>
      </c>
      <c r="F1394" s="0" t="s">
        <v>2401</v>
      </c>
      <c r="G1394" s="0" t="s">
        <v>22</v>
      </c>
      <c r="H1394" s="0" t="s">
        <v>22</v>
      </c>
      <c r="I1394" s="0" t="s">
        <v>934</v>
      </c>
    </row>
    <row customHeight="1" ht="11.25">
      <c r="A1395" s="1854" t="s">
        <v>2291</v>
      </c>
      <c r="B1395" s="1854" t="s">
        <v>16</v>
      </c>
      <c r="C1395" s="0" t="s">
        <v>3796</v>
      </c>
      <c r="D1395" s="0" t="s">
        <v>3797</v>
      </c>
      <c r="E1395" s="0" t="s">
        <v>3798</v>
      </c>
      <c r="F1395" s="0" t="s">
        <v>2393</v>
      </c>
      <c r="G1395" s="0" t="s">
        <v>2378</v>
      </c>
      <c r="H1395" s="0" t="s">
        <v>22</v>
      </c>
      <c r="I1395" s="0" t="s">
        <v>934</v>
      </c>
    </row>
    <row customHeight="1" ht="11.25">
      <c r="A1396" s="1854" t="s">
        <v>2291</v>
      </c>
      <c r="B1396" s="1854" t="s">
        <v>16</v>
      </c>
      <c r="C1396" s="0" t="s">
        <v>4741</v>
      </c>
      <c r="D1396" s="0" t="s">
        <v>4742</v>
      </c>
      <c r="E1396" s="0" t="s">
        <v>4743</v>
      </c>
      <c r="F1396" s="0" t="s">
        <v>2351</v>
      </c>
      <c r="G1396" s="0" t="s">
        <v>22</v>
      </c>
      <c r="H1396" s="0" t="s">
        <v>22</v>
      </c>
      <c r="I1396" s="0" t="s">
        <v>934</v>
      </c>
    </row>
    <row customHeight="1" ht="11.25">
      <c r="A1397" s="1854" t="s">
        <v>2291</v>
      </c>
      <c r="B1397" s="1854" t="s">
        <v>16</v>
      </c>
      <c r="C1397" s="0" t="s">
        <v>4611</v>
      </c>
      <c r="D1397" s="0" t="s">
        <v>4612</v>
      </c>
      <c r="E1397" s="0" t="s">
        <v>4613</v>
      </c>
      <c r="F1397" s="0" t="s">
        <v>51</v>
      </c>
      <c r="G1397" s="0" t="s">
        <v>3162</v>
      </c>
      <c r="H1397" s="0" t="s">
        <v>22</v>
      </c>
      <c r="I1397" s="0" t="s">
        <v>934</v>
      </c>
    </row>
    <row customHeight="1" ht="11.25">
      <c r="A1398" s="1854" t="s">
        <v>2291</v>
      </c>
      <c r="B1398" s="1854" t="s">
        <v>16</v>
      </c>
      <c r="C1398" s="0" t="s">
        <v>4744</v>
      </c>
      <c r="D1398" s="0" t="s">
        <v>4745</v>
      </c>
      <c r="E1398" s="0" t="s">
        <v>4746</v>
      </c>
      <c r="F1398" s="0" t="s">
        <v>2750</v>
      </c>
      <c r="G1398" s="0" t="s">
        <v>22</v>
      </c>
      <c r="H1398" s="0" t="s">
        <v>22</v>
      </c>
      <c r="I1398" s="0" t="s">
        <v>934</v>
      </c>
    </row>
    <row customHeight="1" ht="11.25">
      <c r="A1399" s="1854" t="s">
        <v>2291</v>
      </c>
      <c r="B1399" s="1854" t="s">
        <v>16</v>
      </c>
      <c r="C1399" s="0" t="s">
        <v>3841</v>
      </c>
      <c r="D1399" s="0" t="s">
        <v>3842</v>
      </c>
      <c r="E1399" s="0" t="s">
        <v>3843</v>
      </c>
      <c r="F1399" s="0" t="s">
        <v>2405</v>
      </c>
      <c r="G1399" s="0" t="s">
        <v>22</v>
      </c>
      <c r="H1399" s="0" t="s">
        <v>22</v>
      </c>
      <c r="I1399" s="0" t="s">
        <v>934</v>
      </c>
    </row>
    <row customHeight="1" ht="11.25">
      <c r="A1400" s="1854" t="s">
        <v>2291</v>
      </c>
      <c r="B1400" s="1854" t="s">
        <v>16</v>
      </c>
      <c r="C1400" s="0" t="s">
        <v>4747</v>
      </c>
      <c r="D1400" s="0" t="s">
        <v>4748</v>
      </c>
      <c r="E1400" s="0" t="s">
        <v>4749</v>
      </c>
      <c r="F1400" s="0" t="s">
        <v>3833</v>
      </c>
      <c r="G1400" s="0" t="s">
        <v>22</v>
      </c>
      <c r="H1400" s="0" t="s">
        <v>22</v>
      </c>
      <c r="I1400" s="0" t="s">
        <v>934</v>
      </c>
    </row>
    <row customHeight="1" ht="11.25">
      <c r="A1401" s="1854" t="s">
        <v>2291</v>
      </c>
      <c r="B1401" s="1854" t="s">
        <v>16</v>
      </c>
      <c r="C1401" s="0" t="s">
        <v>3867</v>
      </c>
      <c r="D1401" s="0" t="s">
        <v>3868</v>
      </c>
      <c r="E1401" s="0" t="s">
        <v>3869</v>
      </c>
      <c r="F1401" s="0" t="s">
        <v>2416</v>
      </c>
      <c r="G1401" s="0" t="s">
        <v>22</v>
      </c>
      <c r="H1401" s="0" t="s">
        <v>22</v>
      </c>
      <c r="I1401" s="0" t="s">
        <v>934</v>
      </c>
    </row>
    <row customHeight="1" ht="11.25">
      <c r="A1402" s="1854" t="s">
        <v>2291</v>
      </c>
      <c r="B1402" s="1854" t="s">
        <v>16</v>
      </c>
      <c r="C1402" s="0" t="s">
        <v>3870</v>
      </c>
      <c r="D1402" s="0" t="s">
        <v>3871</v>
      </c>
      <c r="E1402" s="0" t="s">
        <v>3872</v>
      </c>
      <c r="F1402" s="0" t="s">
        <v>2830</v>
      </c>
      <c r="G1402" s="0" t="s">
        <v>3873</v>
      </c>
      <c r="H1402" s="0" t="s">
        <v>22</v>
      </c>
      <c r="I1402" s="0" t="s">
        <v>934</v>
      </c>
    </row>
    <row customHeight="1" ht="11.25">
      <c r="A1403" s="1854" t="s">
        <v>2291</v>
      </c>
      <c r="B1403" s="1854" t="s">
        <v>16</v>
      </c>
      <c r="C1403" s="0" t="s">
        <v>13</v>
      </c>
      <c r="D1403" s="0" t="s">
        <v>46</v>
      </c>
      <c r="E1403" s="0" t="s">
        <v>49</v>
      </c>
      <c r="F1403" s="0" t="s">
        <v>51</v>
      </c>
      <c r="G1403" s="0" t="s">
        <v>4750</v>
      </c>
      <c r="H1403" s="0" t="s">
        <v>22</v>
      </c>
      <c r="I1403" s="0" t="s">
        <v>934</v>
      </c>
    </row>
    <row customHeight="1" ht="11.25">
      <c r="A1404" s="1854" t="s">
        <v>2291</v>
      </c>
      <c r="B1404" s="1854" t="s">
        <v>16</v>
      </c>
      <c r="C1404" s="0" t="s">
        <v>3885</v>
      </c>
      <c r="D1404" s="0" t="s">
        <v>3886</v>
      </c>
      <c r="E1404" s="0" t="s">
        <v>3887</v>
      </c>
      <c r="F1404" s="0" t="s">
        <v>2389</v>
      </c>
      <c r="G1404" s="0" t="s">
        <v>3888</v>
      </c>
      <c r="H1404" s="0" t="s">
        <v>22</v>
      </c>
      <c r="I1404" s="0" t="s">
        <v>934</v>
      </c>
    </row>
    <row customHeight="1" ht="11.25">
      <c r="A1405" s="1854" t="s">
        <v>2291</v>
      </c>
      <c r="B1405" s="1854" t="s">
        <v>16</v>
      </c>
      <c r="C1405" s="0" t="s">
        <v>3896</v>
      </c>
      <c r="D1405" s="0" t="s">
        <v>3897</v>
      </c>
      <c r="E1405" s="0" t="s">
        <v>3898</v>
      </c>
      <c r="F1405" s="0" t="s">
        <v>2389</v>
      </c>
      <c r="G1405" s="0" t="s">
        <v>3899</v>
      </c>
      <c r="H1405" s="0" t="s">
        <v>22</v>
      </c>
      <c r="I1405" s="0" t="s">
        <v>934</v>
      </c>
    </row>
    <row customHeight="1" ht="11.25">
      <c r="A1406" s="1854" t="s">
        <v>2291</v>
      </c>
      <c r="B1406" s="1854" t="s">
        <v>16</v>
      </c>
      <c r="C1406" s="0" t="s">
        <v>4751</v>
      </c>
      <c r="D1406" s="0" t="s">
        <v>4752</v>
      </c>
      <c r="E1406" s="0" t="s">
        <v>4753</v>
      </c>
      <c r="F1406" s="0" t="s">
        <v>2322</v>
      </c>
      <c r="G1406" s="0" t="s">
        <v>22</v>
      </c>
      <c r="H1406" s="0" t="s">
        <v>22</v>
      </c>
      <c r="I1406" s="0" t="s">
        <v>934</v>
      </c>
    </row>
    <row customHeight="1" ht="11.25">
      <c r="A1407" s="1854" t="s">
        <v>2291</v>
      </c>
      <c r="B1407" s="1854" t="s">
        <v>16</v>
      </c>
      <c r="C1407" s="0" t="s">
        <v>4614</v>
      </c>
      <c r="D1407" s="0" t="s">
        <v>4615</v>
      </c>
      <c r="E1407" s="0" t="s">
        <v>4616</v>
      </c>
      <c r="F1407" s="0" t="s">
        <v>2416</v>
      </c>
      <c r="G1407" s="0" t="s">
        <v>4617</v>
      </c>
      <c r="H1407" s="0" t="s">
        <v>22</v>
      </c>
      <c r="I1407" s="0" t="s">
        <v>934</v>
      </c>
    </row>
    <row customHeight="1" ht="11.25">
      <c r="A1408" s="1854" t="s">
        <v>2291</v>
      </c>
      <c r="B1408" s="1854" t="s">
        <v>16</v>
      </c>
      <c r="C1408" s="0" t="s">
        <v>3957</v>
      </c>
      <c r="D1408" s="0" t="s">
        <v>3958</v>
      </c>
      <c r="E1408" s="0" t="s">
        <v>3959</v>
      </c>
      <c r="F1408" s="0" t="s">
        <v>2401</v>
      </c>
      <c r="G1408" s="0" t="s">
        <v>3960</v>
      </c>
      <c r="H1408" s="0" t="s">
        <v>22</v>
      </c>
      <c r="I1408" s="0" t="s">
        <v>934</v>
      </c>
    </row>
    <row customHeight="1" ht="11.25">
      <c r="A1409" s="1854" t="s">
        <v>2291</v>
      </c>
      <c r="B1409" s="1854" t="s">
        <v>16</v>
      </c>
      <c r="C1409" s="0" t="s">
        <v>3967</v>
      </c>
      <c r="D1409" s="0" t="s">
        <v>3968</v>
      </c>
      <c r="E1409" s="0" t="s">
        <v>3969</v>
      </c>
      <c r="F1409" s="0" t="s">
        <v>2295</v>
      </c>
      <c r="G1409" s="0" t="s">
        <v>22</v>
      </c>
      <c r="H1409" s="0" t="s">
        <v>22</v>
      </c>
      <c r="I1409" s="0" t="s">
        <v>934</v>
      </c>
    </row>
    <row customHeight="1" ht="11.25">
      <c r="A1410" s="1854" t="s">
        <v>2291</v>
      </c>
      <c r="B1410" s="1854" t="s">
        <v>16</v>
      </c>
      <c r="C1410" s="0" t="s">
        <v>3970</v>
      </c>
      <c r="D1410" s="0" t="s">
        <v>3971</v>
      </c>
      <c r="E1410" s="0" t="s">
        <v>3972</v>
      </c>
      <c r="F1410" s="0" t="s">
        <v>2389</v>
      </c>
      <c r="G1410" s="0" t="s">
        <v>3973</v>
      </c>
      <c r="H1410" s="0" t="s">
        <v>3974</v>
      </c>
      <c r="I1410" s="0" t="s">
        <v>934</v>
      </c>
    </row>
    <row customHeight="1" ht="11.25">
      <c r="A1411" s="1854" t="s">
        <v>2291</v>
      </c>
      <c r="B1411" s="1854" t="s">
        <v>16</v>
      </c>
      <c r="C1411" s="0" t="s">
        <v>3982</v>
      </c>
      <c r="D1411" s="0" t="s">
        <v>3983</v>
      </c>
      <c r="E1411" s="0" t="s">
        <v>3984</v>
      </c>
      <c r="F1411" s="0" t="s">
        <v>2632</v>
      </c>
      <c r="G1411" s="0" t="s">
        <v>3985</v>
      </c>
      <c r="H1411" s="0" t="s">
        <v>22</v>
      </c>
      <c r="I1411" s="0" t="s">
        <v>934</v>
      </c>
    </row>
    <row customHeight="1" ht="11.25">
      <c r="A1412" s="1854" t="s">
        <v>2291</v>
      </c>
      <c r="B1412" s="1854" t="s">
        <v>16</v>
      </c>
      <c r="C1412" s="0" t="s">
        <v>3986</v>
      </c>
      <c r="D1412" s="0" t="s">
        <v>3987</v>
      </c>
      <c r="E1412" s="0" t="s">
        <v>3988</v>
      </c>
      <c r="F1412" s="0" t="s">
        <v>2359</v>
      </c>
      <c r="G1412" s="0" t="s">
        <v>22</v>
      </c>
      <c r="H1412" s="0" t="s">
        <v>22</v>
      </c>
      <c r="I1412" s="0" t="s">
        <v>934</v>
      </c>
    </row>
    <row customHeight="1" ht="11.25">
      <c r="A1413" s="1854" t="s">
        <v>2291</v>
      </c>
      <c r="B1413" s="1854" t="s">
        <v>16</v>
      </c>
      <c r="C1413" s="0" t="s">
        <v>4754</v>
      </c>
      <c r="D1413" s="0" t="s">
        <v>4755</v>
      </c>
      <c r="E1413" s="0" t="s">
        <v>4756</v>
      </c>
      <c r="F1413" s="0" t="s">
        <v>2416</v>
      </c>
      <c r="G1413" s="0" t="s">
        <v>4737</v>
      </c>
      <c r="H1413" s="0" t="s">
        <v>22</v>
      </c>
      <c r="I1413" s="0" t="s">
        <v>934</v>
      </c>
    </row>
    <row customHeight="1" ht="11.25">
      <c r="A1414" s="1854" t="s">
        <v>2291</v>
      </c>
      <c r="B1414" s="1854" t="s">
        <v>16</v>
      </c>
      <c r="C1414" s="0" t="s">
        <v>4757</v>
      </c>
      <c r="D1414" s="0" t="s">
        <v>4758</v>
      </c>
      <c r="E1414" s="0" t="s">
        <v>4759</v>
      </c>
      <c r="F1414" s="0" t="s">
        <v>2476</v>
      </c>
      <c r="G1414" s="0" t="s">
        <v>22</v>
      </c>
      <c r="H1414" s="0" t="s">
        <v>22</v>
      </c>
      <c r="I1414" s="0" t="s">
        <v>934</v>
      </c>
    </row>
    <row customHeight="1" ht="11.25">
      <c r="A1415" s="1854" t="s">
        <v>2291</v>
      </c>
      <c r="B1415" s="1854" t="s">
        <v>16</v>
      </c>
      <c r="C1415" s="0" t="s">
        <v>4032</v>
      </c>
      <c r="D1415" s="0" t="s">
        <v>4033</v>
      </c>
      <c r="E1415" s="0" t="s">
        <v>4034</v>
      </c>
      <c r="F1415" s="0" t="s">
        <v>2389</v>
      </c>
      <c r="G1415" s="0" t="s">
        <v>22</v>
      </c>
      <c r="H1415" s="0" t="s">
        <v>22</v>
      </c>
      <c r="I1415" s="0" t="s">
        <v>934</v>
      </c>
    </row>
    <row customHeight="1" ht="11.25">
      <c r="A1416" s="1854" t="s">
        <v>2291</v>
      </c>
      <c r="B1416" s="1854" t="s">
        <v>16</v>
      </c>
      <c r="C1416" s="0" t="s">
        <v>4622</v>
      </c>
      <c r="D1416" s="0" t="s">
        <v>4623</v>
      </c>
      <c r="E1416" s="0" t="s">
        <v>4624</v>
      </c>
      <c r="F1416" s="0" t="s">
        <v>3813</v>
      </c>
      <c r="G1416" s="0" t="s">
        <v>4625</v>
      </c>
      <c r="H1416" s="0" t="s">
        <v>22</v>
      </c>
      <c r="I1416" s="0" t="s">
        <v>934</v>
      </c>
    </row>
    <row customHeight="1" ht="11.25">
      <c r="A1417" s="1854" t="s">
        <v>2291</v>
      </c>
      <c r="B1417" s="1854" t="s">
        <v>16</v>
      </c>
      <c r="C1417" s="0" t="s">
        <v>4760</v>
      </c>
      <c r="D1417" s="0" t="s">
        <v>4761</v>
      </c>
      <c r="E1417" s="0" t="s">
        <v>4762</v>
      </c>
      <c r="F1417" s="0" t="s">
        <v>2750</v>
      </c>
      <c r="G1417" s="0" t="s">
        <v>4763</v>
      </c>
      <c r="H1417" s="0" t="s">
        <v>22</v>
      </c>
      <c r="I1417" s="0" t="s">
        <v>934</v>
      </c>
    </row>
    <row customHeight="1" ht="11.25">
      <c r="A1418" s="1854" t="s">
        <v>2291</v>
      </c>
      <c r="B1418" s="1854" t="s">
        <v>16</v>
      </c>
      <c r="C1418" s="0" t="s">
        <v>4626</v>
      </c>
      <c r="D1418" s="0" t="s">
        <v>4627</v>
      </c>
      <c r="E1418" s="0" t="s">
        <v>4628</v>
      </c>
      <c r="F1418" s="0" t="s">
        <v>2377</v>
      </c>
      <c r="G1418" s="0" t="s">
        <v>22</v>
      </c>
      <c r="H1418" s="0" t="s">
        <v>4629</v>
      </c>
      <c r="I1418" s="0" t="s">
        <v>934</v>
      </c>
    </row>
    <row customHeight="1" ht="11.25">
      <c r="A1419" s="1854" t="s">
        <v>2291</v>
      </c>
      <c r="B1419" s="1854" t="s">
        <v>16</v>
      </c>
      <c r="C1419" s="0" t="s">
        <v>4053</v>
      </c>
      <c r="D1419" s="0" t="s">
        <v>4054</v>
      </c>
      <c r="E1419" s="0" t="s">
        <v>4055</v>
      </c>
      <c r="F1419" s="0" t="s">
        <v>2632</v>
      </c>
      <c r="G1419" s="0" t="s">
        <v>22</v>
      </c>
      <c r="H1419" s="0" t="s">
        <v>22</v>
      </c>
      <c r="I1419" s="0" t="s">
        <v>934</v>
      </c>
    </row>
    <row customHeight="1" ht="11.25">
      <c r="A1420" s="1854" t="s">
        <v>2291</v>
      </c>
      <c r="B1420" s="1854" t="s">
        <v>16</v>
      </c>
      <c r="C1420" s="0" t="s">
        <v>4059</v>
      </c>
      <c r="D1420" s="0" t="s">
        <v>4060</v>
      </c>
      <c r="E1420" s="0" t="s">
        <v>4061</v>
      </c>
      <c r="F1420" s="0" t="s">
        <v>2416</v>
      </c>
      <c r="G1420" s="0" t="s">
        <v>22</v>
      </c>
      <c r="H1420" s="0" t="s">
        <v>22</v>
      </c>
      <c r="I1420" s="0" t="s">
        <v>934</v>
      </c>
    </row>
    <row customHeight="1" ht="11.25">
      <c r="A1421" s="1854" t="s">
        <v>2291</v>
      </c>
      <c r="B1421" s="1854" t="s">
        <v>16</v>
      </c>
      <c r="C1421" s="0" t="s">
        <v>4069</v>
      </c>
      <c r="D1421" s="0" t="s">
        <v>4070</v>
      </c>
      <c r="E1421" s="0" t="s">
        <v>4071</v>
      </c>
      <c r="F1421" s="0" t="s">
        <v>4072</v>
      </c>
      <c r="G1421" s="0" t="s">
        <v>4073</v>
      </c>
      <c r="H1421" s="0" t="s">
        <v>22</v>
      </c>
      <c r="I1421" s="0" t="s">
        <v>934</v>
      </c>
    </row>
    <row customHeight="1" ht="11.25">
      <c r="A1422" s="1854" t="s">
        <v>2291</v>
      </c>
      <c r="B1422" s="1854" t="s">
        <v>16</v>
      </c>
      <c r="C1422" s="0" t="s">
        <v>4764</v>
      </c>
      <c r="D1422" s="0" t="s">
        <v>4765</v>
      </c>
      <c r="E1422" s="0" t="s">
        <v>4766</v>
      </c>
      <c r="F1422" s="0" t="s">
        <v>2416</v>
      </c>
      <c r="G1422" s="0" t="s">
        <v>22</v>
      </c>
      <c r="H1422" s="0" t="s">
        <v>22</v>
      </c>
      <c r="I1422" s="0" t="s">
        <v>934</v>
      </c>
    </row>
    <row customHeight="1" ht="11.25">
      <c r="A1423" s="1854" t="s">
        <v>2291</v>
      </c>
      <c r="B1423" s="1854" t="s">
        <v>16</v>
      </c>
      <c r="C1423" s="0" t="s">
        <v>4085</v>
      </c>
      <c r="D1423" s="0" t="s">
        <v>4086</v>
      </c>
      <c r="E1423" s="0" t="s">
        <v>4087</v>
      </c>
      <c r="F1423" s="0" t="s">
        <v>2359</v>
      </c>
      <c r="G1423" s="0" t="s">
        <v>22</v>
      </c>
      <c r="H1423" s="0" t="s">
        <v>22</v>
      </c>
      <c r="I1423" s="0" t="s">
        <v>934</v>
      </c>
    </row>
    <row customHeight="1" ht="11.25">
      <c r="A1424" s="1854" t="s">
        <v>2291</v>
      </c>
      <c r="B1424" s="1854" t="s">
        <v>16</v>
      </c>
      <c r="C1424" s="0" t="s">
        <v>4123</v>
      </c>
      <c r="D1424" s="0" t="s">
        <v>4124</v>
      </c>
      <c r="E1424" s="0" t="s">
        <v>4125</v>
      </c>
      <c r="F1424" s="0" t="s">
        <v>2369</v>
      </c>
      <c r="G1424" s="0" t="s">
        <v>22</v>
      </c>
      <c r="H1424" s="0" t="s">
        <v>22</v>
      </c>
      <c r="I1424" s="0" t="s">
        <v>934</v>
      </c>
    </row>
    <row customHeight="1" ht="11.25">
      <c r="A1425" s="1854" t="s">
        <v>2291</v>
      </c>
      <c r="B1425" s="1854" t="s">
        <v>16</v>
      </c>
      <c r="C1425" s="0" t="s">
        <v>4634</v>
      </c>
      <c r="D1425" s="0" t="s">
        <v>4635</v>
      </c>
      <c r="E1425" s="0" t="s">
        <v>4636</v>
      </c>
      <c r="F1425" s="0" t="s">
        <v>2621</v>
      </c>
      <c r="G1425" s="0" t="s">
        <v>22</v>
      </c>
      <c r="H1425" s="0" t="s">
        <v>22</v>
      </c>
      <c r="I1425" s="0" t="s">
        <v>934</v>
      </c>
    </row>
    <row customHeight="1" ht="11.25">
      <c r="A1426" s="1854" t="s">
        <v>2291</v>
      </c>
      <c r="B1426" s="1854" t="s">
        <v>16</v>
      </c>
      <c r="C1426" s="0" t="s">
        <v>4145</v>
      </c>
      <c r="D1426" s="0" t="s">
        <v>4146</v>
      </c>
      <c r="E1426" s="0" t="s">
        <v>2742</v>
      </c>
      <c r="F1426" s="0" t="s">
        <v>4147</v>
      </c>
      <c r="G1426" s="0" t="s">
        <v>22</v>
      </c>
      <c r="H1426" s="0" t="s">
        <v>22</v>
      </c>
      <c r="I1426" s="0" t="s">
        <v>934</v>
      </c>
    </row>
    <row customHeight="1" ht="11.25">
      <c r="A1427" s="1854" t="s">
        <v>2291</v>
      </c>
      <c r="B1427" s="1854" t="s">
        <v>16</v>
      </c>
      <c r="C1427" s="0" t="s">
        <v>4148</v>
      </c>
      <c r="D1427" s="0" t="s">
        <v>4149</v>
      </c>
      <c r="E1427" s="0" t="s">
        <v>2742</v>
      </c>
      <c r="F1427" s="0" t="s">
        <v>4150</v>
      </c>
      <c r="G1427" s="0" t="s">
        <v>22</v>
      </c>
      <c r="H1427" s="0" t="s">
        <v>22</v>
      </c>
      <c r="I1427" s="0" t="s">
        <v>934</v>
      </c>
    </row>
    <row customHeight="1" ht="11.25">
      <c r="A1428" s="1854" t="s">
        <v>2291</v>
      </c>
      <c r="B1428" s="1854" t="s">
        <v>16</v>
      </c>
      <c r="C1428" s="0" t="s">
        <v>4169</v>
      </c>
      <c r="D1428" s="0" t="s">
        <v>4170</v>
      </c>
      <c r="E1428" s="0" t="s">
        <v>4171</v>
      </c>
      <c r="F1428" s="0" t="s">
        <v>2313</v>
      </c>
      <c r="G1428" s="0" t="s">
        <v>22</v>
      </c>
      <c r="H1428" s="0" t="s">
        <v>22</v>
      </c>
      <c r="I1428" s="0" t="s">
        <v>934</v>
      </c>
    </row>
    <row customHeight="1" ht="11.25">
      <c r="A1429" s="1854" t="s">
        <v>2291</v>
      </c>
      <c r="B1429" s="1854" t="s">
        <v>16</v>
      </c>
      <c r="C1429" s="0" t="s">
        <v>4175</v>
      </c>
      <c r="D1429" s="0" t="s">
        <v>4176</v>
      </c>
      <c r="E1429" s="0" t="s">
        <v>4177</v>
      </c>
      <c r="F1429" s="0" t="s">
        <v>4178</v>
      </c>
      <c r="G1429" s="0" t="s">
        <v>22</v>
      </c>
      <c r="H1429" s="0" t="s">
        <v>22</v>
      </c>
      <c r="I1429" s="0" t="s">
        <v>934</v>
      </c>
    </row>
    <row customHeight="1" ht="11.25">
      <c r="A1430" s="1854" t="s">
        <v>2291</v>
      </c>
      <c r="B1430" s="1854" t="s">
        <v>16</v>
      </c>
      <c r="C1430" s="0" t="s">
        <v>4179</v>
      </c>
      <c r="D1430" s="0" t="s">
        <v>4180</v>
      </c>
      <c r="E1430" s="0" t="s">
        <v>4181</v>
      </c>
      <c r="F1430" s="0" t="s">
        <v>2632</v>
      </c>
      <c r="G1430" s="0" t="s">
        <v>2378</v>
      </c>
      <c r="H1430" s="0" t="s">
        <v>22</v>
      </c>
      <c r="I1430" s="0" t="s">
        <v>934</v>
      </c>
    </row>
    <row customHeight="1" ht="11.25">
      <c r="A1431" s="1854" t="s">
        <v>2291</v>
      </c>
      <c r="B1431" s="1854" t="s">
        <v>16</v>
      </c>
      <c r="C1431" s="0" t="s">
        <v>4182</v>
      </c>
      <c r="D1431" s="0" t="s">
        <v>4183</v>
      </c>
      <c r="E1431" s="0" t="s">
        <v>4184</v>
      </c>
      <c r="F1431" s="0" t="s">
        <v>4185</v>
      </c>
      <c r="G1431" s="0" t="s">
        <v>22</v>
      </c>
      <c r="H1431" s="0" t="s">
        <v>22</v>
      </c>
      <c r="I1431" s="0" t="s">
        <v>934</v>
      </c>
    </row>
    <row customHeight="1" ht="11.25">
      <c r="A1432" s="1854" t="s">
        <v>2291</v>
      </c>
      <c r="B1432" s="1854" t="s">
        <v>16</v>
      </c>
      <c r="C1432" s="0" t="s">
        <v>4186</v>
      </c>
      <c r="D1432" s="0" t="s">
        <v>4187</v>
      </c>
      <c r="E1432" s="0" t="s">
        <v>4188</v>
      </c>
      <c r="F1432" s="0" t="s">
        <v>2327</v>
      </c>
      <c r="G1432" s="0" t="s">
        <v>22</v>
      </c>
      <c r="H1432" s="0" t="s">
        <v>22</v>
      </c>
      <c r="I1432" s="0" t="s">
        <v>934</v>
      </c>
    </row>
    <row customHeight="1" ht="11.25">
      <c r="A1433" s="1854" t="s">
        <v>2291</v>
      </c>
      <c r="B1433" s="1854" t="s">
        <v>16</v>
      </c>
      <c r="C1433" s="0" t="s">
        <v>4193</v>
      </c>
      <c r="D1433" s="0" t="s">
        <v>4194</v>
      </c>
      <c r="E1433" s="0" t="s">
        <v>4195</v>
      </c>
      <c r="F1433" s="0" t="s">
        <v>4196</v>
      </c>
      <c r="G1433" s="0" t="s">
        <v>22</v>
      </c>
      <c r="H1433" s="0" t="s">
        <v>22</v>
      </c>
      <c r="I1433" s="0" t="s">
        <v>934</v>
      </c>
    </row>
    <row customHeight="1" ht="11.25">
      <c r="A1434" s="1854" t="s">
        <v>2291</v>
      </c>
      <c r="B1434" s="1854" t="s">
        <v>16</v>
      </c>
      <c r="C1434" s="0" t="s">
        <v>4640</v>
      </c>
      <c r="D1434" s="0" t="s">
        <v>4641</v>
      </c>
      <c r="E1434" s="0" t="s">
        <v>4642</v>
      </c>
      <c r="F1434" s="0" t="s">
        <v>2313</v>
      </c>
      <c r="G1434" s="0" t="s">
        <v>4643</v>
      </c>
      <c r="H1434" s="0" t="s">
        <v>22</v>
      </c>
      <c r="I1434" s="0" t="s">
        <v>934</v>
      </c>
    </row>
    <row customHeight="1" ht="11.25">
      <c r="A1435" s="1854" t="s">
        <v>2291</v>
      </c>
      <c r="B1435" s="1854" t="s">
        <v>16</v>
      </c>
      <c r="C1435" s="0" t="s">
        <v>4203</v>
      </c>
      <c r="D1435" s="0" t="s">
        <v>4204</v>
      </c>
      <c r="E1435" s="0" t="s">
        <v>4205</v>
      </c>
      <c r="F1435" s="0" t="s">
        <v>2369</v>
      </c>
      <c r="G1435" s="0" t="s">
        <v>4206</v>
      </c>
      <c r="H1435" s="0" t="s">
        <v>22</v>
      </c>
      <c r="I1435" s="0" t="s">
        <v>934</v>
      </c>
    </row>
    <row customHeight="1" ht="11.25">
      <c r="A1436" s="1854" t="s">
        <v>2291</v>
      </c>
      <c r="B1436" s="1854" t="s">
        <v>16</v>
      </c>
      <c r="C1436" s="0" t="s">
        <v>4207</v>
      </c>
      <c r="D1436" s="0" t="s">
        <v>4208</v>
      </c>
      <c r="E1436" s="0" t="s">
        <v>4209</v>
      </c>
      <c r="F1436" s="0" t="s">
        <v>2416</v>
      </c>
      <c r="G1436" s="0" t="s">
        <v>4210</v>
      </c>
      <c r="H1436" s="0" t="s">
        <v>22</v>
      </c>
      <c r="I1436" s="0" t="s">
        <v>934</v>
      </c>
    </row>
    <row customHeight="1" ht="11.25">
      <c r="A1437" s="1854" t="s">
        <v>2291</v>
      </c>
      <c r="B1437" s="1854" t="s">
        <v>16</v>
      </c>
      <c r="C1437" s="0" t="s">
        <v>4211</v>
      </c>
      <c r="D1437" s="0" t="s">
        <v>4212</v>
      </c>
      <c r="E1437" s="0" t="s">
        <v>4213</v>
      </c>
      <c r="F1437" s="0" t="s">
        <v>51</v>
      </c>
      <c r="G1437" s="0" t="s">
        <v>4214</v>
      </c>
      <c r="H1437" s="0" t="s">
        <v>22</v>
      </c>
      <c r="I1437" s="0" t="s">
        <v>934</v>
      </c>
    </row>
    <row customHeight="1" ht="11.25">
      <c r="A1438" s="1854" t="s">
        <v>2291</v>
      </c>
      <c r="B1438" s="1854" t="s">
        <v>16</v>
      </c>
      <c r="C1438" s="0" t="s">
        <v>4220</v>
      </c>
      <c r="D1438" s="0" t="s">
        <v>4221</v>
      </c>
      <c r="E1438" s="0" t="s">
        <v>4222</v>
      </c>
      <c r="F1438" s="0" t="s">
        <v>2351</v>
      </c>
      <c r="G1438" s="0" t="s">
        <v>4223</v>
      </c>
      <c r="H1438" s="0" t="s">
        <v>22</v>
      </c>
      <c r="I1438" s="0" t="s">
        <v>934</v>
      </c>
    </row>
    <row customHeight="1" ht="11.25">
      <c r="A1439" s="1854" t="s">
        <v>2291</v>
      </c>
      <c r="B1439" s="1854" t="s">
        <v>16</v>
      </c>
      <c r="C1439" s="0" t="s">
        <v>4224</v>
      </c>
      <c r="D1439" s="0" t="s">
        <v>4225</v>
      </c>
      <c r="E1439" s="0" t="s">
        <v>4226</v>
      </c>
      <c r="F1439" s="0" t="s">
        <v>2405</v>
      </c>
      <c r="G1439" s="0" t="s">
        <v>22</v>
      </c>
      <c r="H1439" s="0" t="s">
        <v>22</v>
      </c>
      <c r="I1439" s="0" t="s">
        <v>934</v>
      </c>
    </row>
    <row customHeight="1" ht="11.25">
      <c r="A1440" s="1854" t="s">
        <v>2291</v>
      </c>
      <c r="B1440" s="1854" t="s">
        <v>16</v>
      </c>
      <c r="C1440" s="0" t="s">
        <v>4233</v>
      </c>
      <c r="D1440" s="0" t="s">
        <v>4234</v>
      </c>
      <c r="E1440" s="0" t="s">
        <v>4235</v>
      </c>
      <c r="F1440" s="0" t="s">
        <v>2601</v>
      </c>
      <c r="G1440" s="0" t="s">
        <v>22</v>
      </c>
      <c r="H1440" s="0" t="s">
        <v>22</v>
      </c>
      <c r="I1440" s="0" t="s">
        <v>934</v>
      </c>
    </row>
    <row customHeight="1" ht="11.25">
      <c r="A1441" s="1854" t="s">
        <v>2291</v>
      </c>
      <c r="B1441" s="1854" t="s">
        <v>16</v>
      </c>
      <c r="C1441" s="0" t="s">
        <v>22</v>
      </c>
      <c r="D1441" s="0" t="s">
        <v>4236</v>
      </c>
      <c r="E1441" s="0" t="s">
        <v>4237</v>
      </c>
      <c r="F1441" s="0" t="s">
        <v>2393</v>
      </c>
      <c r="G1441" s="0" t="s">
        <v>22</v>
      </c>
      <c r="H1441" s="0" t="s">
        <v>22</v>
      </c>
      <c r="I1441" s="0" t="s">
        <v>934</v>
      </c>
    </row>
    <row customHeight="1" ht="11.25">
      <c r="A1442" s="1854" t="s">
        <v>2291</v>
      </c>
      <c r="B1442" s="1854" t="s">
        <v>16</v>
      </c>
      <c r="C1442" s="0" t="s">
        <v>4673</v>
      </c>
      <c r="D1442" s="0" t="s">
        <v>4674</v>
      </c>
      <c r="E1442" s="0" t="s">
        <v>4675</v>
      </c>
      <c r="F1442" s="0" t="s">
        <v>2313</v>
      </c>
      <c r="G1442" s="0" t="s">
        <v>4676</v>
      </c>
      <c r="H1442" s="0" t="s">
        <v>22</v>
      </c>
      <c r="I1442" s="0" t="s">
        <v>934</v>
      </c>
    </row>
    <row customHeight="1" ht="11.25">
      <c r="A1443" s="1854" t="s">
        <v>2291</v>
      </c>
      <c r="B1443" s="1854" t="s">
        <v>16</v>
      </c>
      <c r="C1443" s="0" t="s">
        <v>4260</v>
      </c>
      <c r="D1443" s="0" t="s">
        <v>4261</v>
      </c>
      <c r="E1443" s="0" t="s">
        <v>4262</v>
      </c>
      <c r="F1443" s="0" t="s">
        <v>4263</v>
      </c>
      <c r="G1443" s="0" t="s">
        <v>22</v>
      </c>
      <c r="H1443" s="0" t="s">
        <v>22</v>
      </c>
      <c r="I1443" s="0" t="s">
        <v>934</v>
      </c>
    </row>
    <row customHeight="1" ht="11.25">
      <c r="A1444" s="1854" t="s">
        <v>2291</v>
      </c>
      <c r="B1444" s="1854" t="s">
        <v>16</v>
      </c>
      <c r="C1444" s="0" t="s">
        <v>4295</v>
      </c>
      <c r="D1444" s="0" t="s">
        <v>4296</v>
      </c>
      <c r="E1444" s="0" t="s">
        <v>4297</v>
      </c>
      <c r="F1444" s="0" t="s">
        <v>2377</v>
      </c>
      <c r="G1444" s="0" t="s">
        <v>4298</v>
      </c>
      <c r="H1444" s="0" t="s">
        <v>22</v>
      </c>
      <c r="I1444" s="0" t="s">
        <v>934</v>
      </c>
    </row>
    <row customHeight="1" ht="11.25">
      <c r="A1445" s="1854" t="s">
        <v>2291</v>
      </c>
      <c r="B1445" s="1854" t="s">
        <v>16</v>
      </c>
      <c r="C1445" s="0" t="s">
        <v>4299</v>
      </c>
      <c r="D1445" s="0" t="s">
        <v>4300</v>
      </c>
      <c r="E1445" s="0" t="s">
        <v>4301</v>
      </c>
      <c r="F1445" s="0" t="s">
        <v>2632</v>
      </c>
      <c r="G1445" s="0" t="s">
        <v>22</v>
      </c>
      <c r="H1445" s="0" t="s">
        <v>22</v>
      </c>
      <c r="I1445" s="0" t="s">
        <v>934</v>
      </c>
    </row>
    <row customHeight="1" ht="11.25">
      <c r="A1446" s="1854" t="s">
        <v>2291</v>
      </c>
      <c r="B1446" s="1854" t="s">
        <v>16</v>
      </c>
      <c r="C1446" s="0" t="s">
        <v>4767</v>
      </c>
      <c r="D1446" s="0" t="s">
        <v>4768</v>
      </c>
      <c r="E1446" s="0" t="s">
        <v>4769</v>
      </c>
      <c r="F1446" s="0" t="s">
        <v>2632</v>
      </c>
      <c r="G1446" s="0" t="s">
        <v>22</v>
      </c>
      <c r="H1446" s="0" t="s">
        <v>4770</v>
      </c>
      <c r="I1446" s="0" t="s">
        <v>934</v>
      </c>
    </row>
    <row customHeight="1" ht="11.25">
      <c r="A1447" s="1854" t="s">
        <v>2291</v>
      </c>
      <c r="B1447" s="1854" t="s">
        <v>16</v>
      </c>
      <c r="C1447" s="0" t="s">
        <v>4308</v>
      </c>
      <c r="D1447" s="0" t="s">
        <v>4309</v>
      </c>
      <c r="E1447" s="0" t="s">
        <v>4310</v>
      </c>
      <c r="F1447" s="0" t="s">
        <v>51</v>
      </c>
      <c r="G1447" s="0" t="s">
        <v>22</v>
      </c>
      <c r="H1447" s="0" t="s">
        <v>22</v>
      </c>
      <c r="I1447" s="0" t="s">
        <v>934</v>
      </c>
    </row>
    <row customHeight="1" ht="11.25">
      <c r="A1448" s="1854" t="s">
        <v>2291</v>
      </c>
      <c r="B1448" s="1854" t="s">
        <v>16</v>
      </c>
      <c r="C1448" s="0" t="s">
        <v>4311</v>
      </c>
      <c r="D1448" s="0" t="s">
        <v>4312</v>
      </c>
      <c r="E1448" s="0" t="s">
        <v>4217</v>
      </c>
      <c r="F1448" s="0" t="s">
        <v>4313</v>
      </c>
      <c r="G1448" s="0" t="s">
        <v>4314</v>
      </c>
      <c r="H1448" s="0" t="s">
        <v>22</v>
      </c>
      <c r="I1448" s="0" t="s">
        <v>934</v>
      </c>
    </row>
    <row customHeight="1" ht="11.25">
      <c r="A1449" s="1854" t="s">
        <v>2291</v>
      </c>
      <c r="B1449" s="1854" t="s">
        <v>16</v>
      </c>
      <c r="C1449" s="0" t="s">
        <v>4315</v>
      </c>
      <c r="D1449" s="0" t="s">
        <v>4316</v>
      </c>
      <c r="E1449" s="0" t="s">
        <v>2631</v>
      </c>
      <c r="F1449" s="0" t="s">
        <v>4317</v>
      </c>
      <c r="G1449" s="0" t="s">
        <v>22</v>
      </c>
      <c r="H1449" s="0" t="s">
        <v>22</v>
      </c>
      <c r="I1449" s="0" t="s">
        <v>934</v>
      </c>
    </row>
    <row customHeight="1" ht="11.25">
      <c r="A1450" s="1854" t="s">
        <v>2291</v>
      </c>
      <c r="B1450" s="1854" t="s">
        <v>16</v>
      </c>
      <c r="C1450" s="0" t="s">
        <v>4318</v>
      </c>
      <c r="D1450" s="0" t="s">
        <v>4319</v>
      </c>
      <c r="E1450" s="0" t="s">
        <v>2631</v>
      </c>
      <c r="F1450" s="0" t="s">
        <v>2727</v>
      </c>
      <c r="G1450" s="0" t="s">
        <v>4320</v>
      </c>
      <c r="H1450" s="0" t="s">
        <v>22</v>
      </c>
      <c r="I1450" s="0" t="s">
        <v>934</v>
      </c>
    </row>
    <row customHeight="1" ht="11.25">
      <c r="A1451" s="1854" t="s">
        <v>2291</v>
      </c>
      <c r="B1451" s="1854" t="s">
        <v>16</v>
      </c>
      <c r="C1451" s="0" t="s">
        <v>4323</v>
      </c>
      <c r="D1451" s="0" t="s">
        <v>4324</v>
      </c>
      <c r="E1451" s="0" t="s">
        <v>4325</v>
      </c>
      <c r="F1451" s="0" t="s">
        <v>4326</v>
      </c>
      <c r="G1451" s="0" t="s">
        <v>4327</v>
      </c>
      <c r="H1451" s="0" t="s">
        <v>22</v>
      </c>
      <c r="I1451" s="0" t="s">
        <v>934</v>
      </c>
    </row>
    <row customHeight="1" ht="11.25">
      <c r="A1452" s="1854" t="s">
        <v>2291</v>
      </c>
      <c r="B1452" s="1854" t="s">
        <v>16</v>
      </c>
      <c r="C1452" s="0" t="s">
        <v>4328</v>
      </c>
      <c r="D1452" s="0" t="s">
        <v>4329</v>
      </c>
      <c r="E1452" s="0" t="s">
        <v>4195</v>
      </c>
      <c r="F1452" s="0" t="s">
        <v>4330</v>
      </c>
      <c r="G1452" s="0" t="s">
        <v>22</v>
      </c>
      <c r="H1452" s="0" t="s">
        <v>22</v>
      </c>
      <c r="I1452" s="0" t="s">
        <v>934</v>
      </c>
    </row>
    <row customHeight="1" ht="11.25">
      <c r="A1453" s="1854" t="s">
        <v>2291</v>
      </c>
      <c r="B1453" s="1854" t="s">
        <v>16</v>
      </c>
      <c r="C1453" s="0" t="s">
        <v>4680</v>
      </c>
      <c r="D1453" s="0" t="s">
        <v>4681</v>
      </c>
      <c r="E1453" s="0" t="s">
        <v>4682</v>
      </c>
      <c r="F1453" s="0" t="s">
        <v>4683</v>
      </c>
      <c r="G1453" s="0" t="s">
        <v>22</v>
      </c>
      <c r="H1453" s="0" t="s">
        <v>22</v>
      </c>
      <c r="I1453" s="0" t="s">
        <v>934</v>
      </c>
    </row>
    <row customHeight="1" ht="11.25">
      <c r="A1454" s="1854" t="s">
        <v>2291</v>
      </c>
      <c r="B1454" s="1854" t="s">
        <v>16</v>
      </c>
      <c r="C1454" s="0" t="s">
        <v>4331</v>
      </c>
      <c r="D1454" s="0" t="s">
        <v>4332</v>
      </c>
      <c r="E1454" s="0" t="s">
        <v>4333</v>
      </c>
      <c r="F1454" s="0" t="s">
        <v>4334</v>
      </c>
      <c r="G1454" s="0" t="s">
        <v>22</v>
      </c>
      <c r="H1454" s="0" t="s">
        <v>22</v>
      </c>
      <c r="I1454" s="0" t="s">
        <v>934</v>
      </c>
    </row>
    <row customHeight="1" ht="11.25">
      <c r="A1455" s="1854" t="s">
        <v>2291</v>
      </c>
      <c r="B1455" s="1854" t="s">
        <v>16</v>
      </c>
      <c r="C1455" s="0" t="s">
        <v>4771</v>
      </c>
      <c r="D1455" s="0" t="s">
        <v>4772</v>
      </c>
      <c r="E1455" s="0" t="s">
        <v>4773</v>
      </c>
      <c r="F1455" s="0" t="s">
        <v>4774</v>
      </c>
      <c r="G1455" s="0" t="s">
        <v>22</v>
      </c>
      <c r="H1455" s="0" t="s">
        <v>22</v>
      </c>
      <c r="I1455" s="0" t="s">
        <v>934</v>
      </c>
    </row>
    <row customHeight="1" ht="11.25">
      <c r="A1456" s="1854" t="s">
        <v>2291</v>
      </c>
      <c r="B1456" s="1854" t="s">
        <v>16</v>
      </c>
      <c r="C1456" s="0" t="s">
        <v>4775</v>
      </c>
      <c r="D1456" s="0" t="s">
        <v>4776</v>
      </c>
      <c r="E1456" s="0" t="s">
        <v>4777</v>
      </c>
      <c r="F1456" s="0" t="s">
        <v>2359</v>
      </c>
      <c r="G1456" s="0" t="s">
        <v>22</v>
      </c>
      <c r="H1456" s="0" t="s">
        <v>22</v>
      </c>
      <c r="I1456" s="0" t="s">
        <v>1671</v>
      </c>
    </row>
    <row customHeight="1" ht="11.25">
      <c r="A1457" s="1854" t="s">
        <v>2291</v>
      </c>
      <c r="B1457" s="1854" t="s">
        <v>16</v>
      </c>
      <c r="C1457" s="0" t="s">
        <v>4778</v>
      </c>
      <c r="D1457" s="0" t="s">
        <v>4779</v>
      </c>
      <c r="E1457" s="0" t="s">
        <v>4780</v>
      </c>
      <c r="F1457" s="0" t="s">
        <v>2632</v>
      </c>
      <c r="G1457" s="0" t="s">
        <v>22</v>
      </c>
      <c r="H1457" s="0" t="s">
        <v>22</v>
      </c>
      <c r="I1457" s="0" t="s">
        <v>1671</v>
      </c>
    </row>
    <row customHeight="1" ht="11.25">
      <c r="A1458" s="1854" t="s">
        <v>2291</v>
      </c>
      <c r="B1458" s="1854" t="s">
        <v>16</v>
      </c>
      <c r="C1458" s="0" t="s">
        <v>2487</v>
      </c>
      <c r="D1458" s="0" t="s">
        <v>2488</v>
      </c>
      <c r="E1458" s="0" t="s">
        <v>2489</v>
      </c>
      <c r="F1458" s="0" t="s">
        <v>2393</v>
      </c>
      <c r="G1458" s="0" t="s">
        <v>2490</v>
      </c>
      <c r="H1458" s="0" t="s">
        <v>22</v>
      </c>
      <c r="I1458" s="0" t="s">
        <v>1671</v>
      </c>
    </row>
    <row customHeight="1" ht="11.25">
      <c r="A1459" s="1854" t="s">
        <v>2291</v>
      </c>
      <c r="B1459" s="1854" t="s">
        <v>16</v>
      </c>
      <c r="C1459" s="0" t="s">
        <v>2703</v>
      </c>
      <c r="D1459" s="0" t="s">
        <v>2704</v>
      </c>
      <c r="E1459" s="0" t="s">
        <v>2705</v>
      </c>
      <c r="F1459" s="0" t="s">
        <v>2351</v>
      </c>
      <c r="G1459" s="0" t="s">
        <v>2706</v>
      </c>
      <c r="H1459" s="0" t="s">
        <v>22</v>
      </c>
      <c r="I1459" s="0" t="s">
        <v>1671</v>
      </c>
    </row>
    <row customHeight="1" ht="11.25">
      <c r="A1460" s="1854" t="s">
        <v>2291</v>
      </c>
      <c r="B1460" s="1854" t="s">
        <v>16</v>
      </c>
      <c r="C1460" s="0" t="s">
        <v>4781</v>
      </c>
      <c r="D1460" s="0" t="s">
        <v>4782</v>
      </c>
      <c r="E1460" s="0" t="s">
        <v>4783</v>
      </c>
      <c r="F1460" s="0" t="s">
        <v>572</v>
      </c>
      <c r="G1460" s="0" t="s">
        <v>22</v>
      </c>
      <c r="H1460" s="0" t="s">
        <v>22</v>
      </c>
      <c r="I1460" s="0" t="s">
        <v>1671</v>
      </c>
    </row>
    <row customHeight="1" ht="11.25">
      <c r="A1461" s="1854" t="s">
        <v>2291</v>
      </c>
      <c r="B1461" s="1854" t="s">
        <v>16</v>
      </c>
      <c r="C1461" s="0" t="s">
        <v>2890</v>
      </c>
      <c r="D1461" s="0" t="s">
        <v>2891</v>
      </c>
      <c r="E1461" s="0" t="s">
        <v>2892</v>
      </c>
      <c r="F1461" s="0" t="s">
        <v>2467</v>
      </c>
      <c r="G1461" s="0" t="s">
        <v>22</v>
      </c>
      <c r="H1461" s="0" t="s">
        <v>22</v>
      </c>
      <c r="I1461" s="0" t="s">
        <v>1671</v>
      </c>
    </row>
    <row customHeight="1" ht="11.25">
      <c r="A1462" s="1854" t="s">
        <v>2291</v>
      </c>
      <c r="B1462" s="1854" t="s">
        <v>16</v>
      </c>
      <c r="C1462" s="0" t="s">
        <v>4784</v>
      </c>
      <c r="D1462" s="0" t="s">
        <v>4785</v>
      </c>
      <c r="E1462" s="0" t="s">
        <v>4786</v>
      </c>
      <c r="F1462" s="0" t="s">
        <v>2313</v>
      </c>
      <c r="G1462" s="0" t="s">
        <v>22</v>
      </c>
      <c r="H1462" s="0" t="s">
        <v>22</v>
      </c>
      <c r="I1462" s="0" t="s">
        <v>1671</v>
      </c>
    </row>
    <row customHeight="1" ht="11.25">
      <c r="A1463" s="1854" t="s">
        <v>2291</v>
      </c>
      <c r="B1463" s="1854" t="s">
        <v>16</v>
      </c>
      <c r="C1463" s="0" t="s">
        <v>2906</v>
      </c>
      <c r="D1463" s="0" t="s">
        <v>2907</v>
      </c>
      <c r="E1463" s="0" t="s">
        <v>2908</v>
      </c>
      <c r="F1463" s="0" t="s">
        <v>2313</v>
      </c>
      <c r="G1463" s="0" t="s">
        <v>22</v>
      </c>
      <c r="H1463" s="0" t="s">
        <v>2909</v>
      </c>
      <c r="I1463" s="0" t="s">
        <v>1671</v>
      </c>
    </row>
    <row customHeight="1" ht="11.25">
      <c r="A1464" s="1854" t="s">
        <v>2291</v>
      </c>
      <c r="B1464" s="1854" t="s">
        <v>16</v>
      </c>
      <c r="C1464" s="0" t="s">
        <v>2910</v>
      </c>
      <c r="D1464" s="0" t="s">
        <v>2911</v>
      </c>
      <c r="E1464" s="0" t="s">
        <v>2912</v>
      </c>
      <c r="F1464" s="0" t="s">
        <v>2313</v>
      </c>
      <c r="G1464" s="0" t="s">
        <v>22</v>
      </c>
      <c r="H1464" s="0" t="s">
        <v>22</v>
      </c>
      <c r="I1464" s="0" t="s">
        <v>1671</v>
      </c>
    </row>
    <row customHeight="1" ht="11.25">
      <c r="A1465" s="1854" t="s">
        <v>2291</v>
      </c>
      <c r="B1465" s="1854" t="s">
        <v>16</v>
      </c>
      <c r="C1465" s="0" t="s">
        <v>2976</v>
      </c>
      <c r="D1465" s="0" t="s">
        <v>2977</v>
      </c>
      <c r="E1465" s="0" t="s">
        <v>2978</v>
      </c>
      <c r="F1465" s="0" t="s">
        <v>2467</v>
      </c>
      <c r="G1465" s="0" t="s">
        <v>2979</v>
      </c>
      <c r="H1465" s="0" t="s">
        <v>22</v>
      </c>
      <c r="I1465" s="0" t="s">
        <v>1671</v>
      </c>
    </row>
    <row customHeight="1" ht="11.25">
      <c r="A1466" s="1854" t="s">
        <v>2291</v>
      </c>
      <c r="B1466" s="1854" t="s">
        <v>16</v>
      </c>
      <c r="C1466" s="0" t="s">
        <v>4787</v>
      </c>
      <c r="D1466" s="0" t="s">
        <v>4788</v>
      </c>
      <c r="E1466" s="0" t="s">
        <v>4789</v>
      </c>
      <c r="F1466" s="0" t="s">
        <v>2377</v>
      </c>
      <c r="G1466" s="0" t="s">
        <v>4790</v>
      </c>
      <c r="H1466" s="0" t="s">
        <v>22</v>
      </c>
      <c r="I1466" s="0" t="s">
        <v>1671</v>
      </c>
    </row>
    <row customHeight="1" ht="11.25">
      <c r="A1467" s="1854" t="s">
        <v>2291</v>
      </c>
      <c r="B1467" s="1854" t="s">
        <v>16</v>
      </c>
      <c r="C1467" s="0" t="s">
        <v>4791</v>
      </c>
      <c r="D1467" s="0" t="s">
        <v>4792</v>
      </c>
      <c r="E1467" s="0" t="s">
        <v>4793</v>
      </c>
      <c r="F1467" s="0" t="s">
        <v>2425</v>
      </c>
      <c r="G1467" s="0" t="s">
        <v>4794</v>
      </c>
      <c r="H1467" s="0" t="s">
        <v>22</v>
      </c>
      <c r="I1467" s="0" t="s">
        <v>1671</v>
      </c>
    </row>
    <row customHeight="1" ht="11.25">
      <c r="A1468" s="1854" t="s">
        <v>2291</v>
      </c>
      <c r="B1468" s="1854" t="s">
        <v>16</v>
      </c>
      <c r="C1468" s="0" t="s">
        <v>4795</v>
      </c>
      <c r="D1468" s="0" t="s">
        <v>4796</v>
      </c>
      <c r="E1468" s="0" t="s">
        <v>4797</v>
      </c>
      <c r="F1468" s="0" t="s">
        <v>2467</v>
      </c>
      <c r="G1468" s="0" t="s">
        <v>22</v>
      </c>
      <c r="H1468" s="0" t="s">
        <v>22</v>
      </c>
      <c r="I1468" s="0" t="s">
        <v>1671</v>
      </c>
    </row>
    <row customHeight="1" ht="11.25">
      <c r="A1469" s="1854" t="s">
        <v>2291</v>
      </c>
      <c r="B1469" s="1854" t="s">
        <v>16</v>
      </c>
      <c r="C1469" s="0" t="s">
        <v>3026</v>
      </c>
      <c r="D1469" s="0" t="s">
        <v>3027</v>
      </c>
      <c r="E1469" s="0" t="s">
        <v>3028</v>
      </c>
      <c r="F1469" s="0" t="s">
        <v>2750</v>
      </c>
      <c r="G1469" s="0" t="s">
        <v>3029</v>
      </c>
      <c r="H1469" s="0" t="s">
        <v>22</v>
      </c>
      <c r="I1469" s="0" t="s">
        <v>1671</v>
      </c>
    </row>
    <row customHeight="1" ht="11.25">
      <c r="A1470" s="1854" t="s">
        <v>2291</v>
      </c>
      <c r="B1470" s="1854" t="s">
        <v>16</v>
      </c>
      <c r="C1470" s="0" t="s">
        <v>3030</v>
      </c>
      <c r="D1470" s="0" t="s">
        <v>3031</v>
      </c>
      <c r="E1470" s="0" t="s">
        <v>3032</v>
      </c>
      <c r="F1470" s="0" t="s">
        <v>2750</v>
      </c>
      <c r="G1470" s="0" t="s">
        <v>3033</v>
      </c>
      <c r="H1470" s="0" t="s">
        <v>22</v>
      </c>
      <c r="I1470" s="0" t="s">
        <v>1671</v>
      </c>
    </row>
    <row customHeight="1" ht="11.25">
      <c r="A1471" s="1854" t="s">
        <v>2291</v>
      </c>
      <c r="B1471" s="1854" t="s">
        <v>16</v>
      </c>
      <c r="C1471" s="0" t="s">
        <v>3038</v>
      </c>
      <c r="D1471" s="0" t="s">
        <v>3039</v>
      </c>
      <c r="E1471" s="0" t="s">
        <v>3040</v>
      </c>
      <c r="F1471" s="0" t="s">
        <v>2750</v>
      </c>
      <c r="G1471" s="0" t="s">
        <v>22</v>
      </c>
      <c r="H1471" s="0" t="s">
        <v>22</v>
      </c>
      <c r="I1471" s="0" t="s">
        <v>1671</v>
      </c>
    </row>
    <row customHeight="1" ht="11.25">
      <c r="A1472" s="1854" t="s">
        <v>2291</v>
      </c>
      <c r="B1472" s="1854" t="s">
        <v>16</v>
      </c>
      <c r="C1472" s="0" t="s">
        <v>4798</v>
      </c>
      <c r="D1472" s="0" t="s">
        <v>4799</v>
      </c>
      <c r="E1472" s="0" t="s">
        <v>4800</v>
      </c>
      <c r="F1472" s="0" t="s">
        <v>2309</v>
      </c>
      <c r="G1472" s="0" t="s">
        <v>22</v>
      </c>
      <c r="H1472" s="0" t="s">
        <v>22</v>
      </c>
      <c r="I1472" s="0" t="s">
        <v>1671</v>
      </c>
    </row>
    <row customHeight="1" ht="11.25">
      <c r="A1473" s="1854" t="s">
        <v>2291</v>
      </c>
      <c r="B1473" s="1854" t="s">
        <v>16</v>
      </c>
      <c r="C1473" s="0" t="s">
        <v>4801</v>
      </c>
      <c r="D1473" s="0" t="s">
        <v>4802</v>
      </c>
      <c r="E1473" s="0" t="s">
        <v>4803</v>
      </c>
      <c r="F1473" s="0" t="s">
        <v>4804</v>
      </c>
      <c r="G1473" s="0" t="s">
        <v>22</v>
      </c>
      <c r="H1473" s="0" t="s">
        <v>22</v>
      </c>
      <c r="I1473" s="0" t="s">
        <v>1671</v>
      </c>
    </row>
    <row customHeight="1" ht="11.25">
      <c r="A1474" s="1854" t="s">
        <v>2291</v>
      </c>
      <c r="B1474" s="1854" t="s">
        <v>16</v>
      </c>
      <c r="C1474" s="0" t="s">
        <v>4499</v>
      </c>
      <c r="D1474" s="0" t="s">
        <v>4500</v>
      </c>
      <c r="E1474" s="0" t="s">
        <v>4501</v>
      </c>
      <c r="F1474" s="0" t="s">
        <v>2425</v>
      </c>
      <c r="G1474" s="0" t="s">
        <v>4502</v>
      </c>
      <c r="H1474" s="0" t="s">
        <v>22</v>
      </c>
      <c r="I1474" s="0" t="s">
        <v>1671</v>
      </c>
    </row>
    <row customHeight="1" ht="11.25">
      <c r="A1475" s="1854" t="s">
        <v>2291</v>
      </c>
      <c r="B1475" s="1854" t="s">
        <v>16</v>
      </c>
      <c r="C1475" s="0" t="s">
        <v>3067</v>
      </c>
      <c r="D1475" s="0" t="s">
        <v>3068</v>
      </c>
      <c r="E1475" s="0" t="s">
        <v>3069</v>
      </c>
      <c r="F1475" s="0" t="s">
        <v>2351</v>
      </c>
      <c r="G1475" s="0" t="s">
        <v>3070</v>
      </c>
      <c r="H1475" s="0" t="s">
        <v>22</v>
      </c>
      <c r="I1475" s="0" t="s">
        <v>1671</v>
      </c>
    </row>
    <row customHeight="1" ht="11.25">
      <c r="A1476" s="1854" t="s">
        <v>2291</v>
      </c>
      <c r="B1476" s="1854" t="s">
        <v>16</v>
      </c>
      <c r="C1476" s="0" t="s">
        <v>3089</v>
      </c>
      <c r="D1476" s="0" t="s">
        <v>3090</v>
      </c>
      <c r="E1476" s="0" t="s">
        <v>3091</v>
      </c>
      <c r="F1476" s="0" t="s">
        <v>2788</v>
      </c>
      <c r="G1476" s="0" t="s">
        <v>3092</v>
      </c>
      <c r="H1476" s="0" t="s">
        <v>22</v>
      </c>
      <c r="I1476" s="0" t="s">
        <v>1671</v>
      </c>
    </row>
    <row customHeight="1" ht="11.25">
      <c r="A1477" s="1854" t="s">
        <v>2291</v>
      </c>
      <c r="B1477" s="1854" t="s">
        <v>16</v>
      </c>
      <c r="C1477" s="0" t="s">
        <v>4805</v>
      </c>
      <c r="D1477" s="0" t="s">
        <v>4806</v>
      </c>
      <c r="E1477" s="0" t="s">
        <v>4807</v>
      </c>
      <c r="F1477" s="0" t="s">
        <v>4808</v>
      </c>
      <c r="G1477" s="0" t="s">
        <v>22</v>
      </c>
      <c r="H1477" s="0" t="s">
        <v>22</v>
      </c>
      <c r="I1477" s="0" t="s">
        <v>1671</v>
      </c>
    </row>
    <row customHeight="1" ht="11.25">
      <c r="A1478" s="1854" t="s">
        <v>2291</v>
      </c>
      <c r="B1478" s="1854" t="s">
        <v>16</v>
      </c>
      <c r="C1478" s="0" t="s">
        <v>4809</v>
      </c>
      <c r="D1478" s="0" t="s">
        <v>4810</v>
      </c>
      <c r="E1478" s="0" t="s">
        <v>4811</v>
      </c>
      <c r="F1478" s="0" t="s">
        <v>3840</v>
      </c>
      <c r="G1478" s="0" t="s">
        <v>22</v>
      </c>
      <c r="H1478" s="0" t="s">
        <v>22</v>
      </c>
      <c r="I1478" s="0" t="s">
        <v>1671</v>
      </c>
    </row>
    <row customHeight="1" ht="11.25">
      <c r="A1479" s="1854" t="s">
        <v>2291</v>
      </c>
      <c r="B1479" s="1854" t="s">
        <v>16</v>
      </c>
      <c r="C1479" s="0" t="s">
        <v>4812</v>
      </c>
      <c r="D1479" s="0" t="s">
        <v>4813</v>
      </c>
      <c r="E1479" s="0" t="s">
        <v>4814</v>
      </c>
      <c r="F1479" s="0" t="s">
        <v>2420</v>
      </c>
      <c r="G1479" s="0" t="s">
        <v>22</v>
      </c>
      <c r="H1479" s="0" t="s">
        <v>4815</v>
      </c>
      <c r="I1479" s="0" t="s">
        <v>1671</v>
      </c>
    </row>
    <row customHeight="1" ht="11.25">
      <c r="A1480" s="1854" t="s">
        <v>2291</v>
      </c>
      <c r="B1480" s="1854" t="s">
        <v>16</v>
      </c>
      <c r="C1480" s="0" t="s">
        <v>3149</v>
      </c>
      <c r="D1480" s="0" t="s">
        <v>3150</v>
      </c>
      <c r="E1480" s="0" t="s">
        <v>3151</v>
      </c>
      <c r="F1480" s="0" t="s">
        <v>2322</v>
      </c>
      <c r="G1480" s="0" t="s">
        <v>3152</v>
      </c>
      <c r="H1480" s="0" t="s">
        <v>22</v>
      </c>
      <c r="I1480" s="0" t="s">
        <v>1671</v>
      </c>
    </row>
    <row customHeight="1" ht="11.25">
      <c r="A1481" s="1854" t="s">
        <v>2291</v>
      </c>
      <c r="B1481" s="1854" t="s">
        <v>16</v>
      </c>
      <c r="C1481" s="0" t="s">
        <v>3159</v>
      </c>
      <c r="D1481" s="0" t="s">
        <v>3160</v>
      </c>
      <c r="E1481" s="0" t="s">
        <v>3161</v>
      </c>
      <c r="F1481" s="0" t="s">
        <v>2425</v>
      </c>
      <c r="G1481" s="0" t="s">
        <v>3162</v>
      </c>
      <c r="H1481" s="0" t="s">
        <v>22</v>
      </c>
      <c r="I1481" s="0" t="s">
        <v>1671</v>
      </c>
    </row>
    <row customHeight="1" ht="11.25">
      <c r="A1482" s="1854" t="s">
        <v>2291</v>
      </c>
      <c r="B1482" s="1854" t="s">
        <v>16</v>
      </c>
      <c r="C1482" s="0" t="s">
        <v>3224</v>
      </c>
      <c r="D1482" s="0" t="s">
        <v>3225</v>
      </c>
      <c r="E1482" s="0" t="s">
        <v>3226</v>
      </c>
      <c r="F1482" s="0" t="s">
        <v>2640</v>
      </c>
      <c r="G1482" s="0" t="s">
        <v>3227</v>
      </c>
      <c r="H1482" s="0" t="s">
        <v>3228</v>
      </c>
      <c r="I1482" s="0" t="s">
        <v>1671</v>
      </c>
    </row>
    <row customHeight="1" ht="11.25">
      <c r="A1483" s="1854" t="s">
        <v>2291</v>
      </c>
      <c r="B1483" s="1854" t="s">
        <v>16</v>
      </c>
      <c r="C1483" s="0" t="s">
        <v>3237</v>
      </c>
      <c r="D1483" s="0" t="s">
        <v>3238</v>
      </c>
      <c r="E1483" s="0" t="s">
        <v>3239</v>
      </c>
      <c r="F1483" s="0" t="s">
        <v>2295</v>
      </c>
      <c r="G1483" s="0" t="s">
        <v>3240</v>
      </c>
      <c r="H1483" s="0" t="s">
        <v>22</v>
      </c>
      <c r="I1483" s="0" t="s">
        <v>1671</v>
      </c>
    </row>
    <row customHeight="1" ht="11.25">
      <c r="A1484" s="1854" t="s">
        <v>2291</v>
      </c>
      <c r="B1484" s="1854" t="s">
        <v>16</v>
      </c>
      <c r="C1484" s="0" t="s">
        <v>3248</v>
      </c>
      <c r="D1484" s="0" t="s">
        <v>3249</v>
      </c>
      <c r="E1484" s="0" t="s">
        <v>3250</v>
      </c>
      <c r="F1484" s="0" t="s">
        <v>2295</v>
      </c>
      <c r="G1484" s="0" t="s">
        <v>2314</v>
      </c>
      <c r="H1484" s="0" t="s">
        <v>22</v>
      </c>
      <c r="I1484" s="0" t="s">
        <v>1671</v>
      </c>
    </row>
    <row customHeight="1" ht="11.25">
      <c r="A1485" s="1854" t="s">
        <v>2291</v>
      </c>
      <c r="B1485" s="1854" t="s">
        <v>16</v>
      </c>
      <c r="C1485" s="0" t="s">
        <v>3255</v>
      </c>
      <c r="D1485" s="0" t="s">
        <v>3256</v>
      </c>
      <c r="E1485" s="0" t="s">
        <v>3257</v>
      </c>
      <c r="F1485" s="0" t="s">
        <v>2322</v>
      </c>
      <c r="G1485" s="0" t="s">
        <v>22</v>
      </c>
      <c r="H1485" s="0" t="s">
        <v>22</v>
      </c>
      <c r="I1485" s="0" t="s">
        <v>1671</v>
      </c>
    </row>
    <row customHeight="1" ht="11.25">
      <c r="A1486" s="1854" t="s">
        <v>2291</v>
      </c>
      <c r="B1486" s="1854" t="s">
        <v>16</v>
      </c>
      <c r="C1486" s="0" t="s">
        <v>3258</v>
      </c>
      <c r="D1486" s="0" t="s">
        <v>3259</v>
      </c>
      <c r="E1486" s="0" t="s">
        <v>3260</v>
      </c>
      <c r="F1486" s="0" t="s">
        <v>2640</v>
      </c>
      <c r="G1486" s="0" t="s">
        <v>3261</v>
      </c>
      <c r="H1486" s="0" t="s">
        <v>22</v>
      </c>
      <c r="I1486" s="0" t="s">
        <v>1671</v>
      </c>
    </row>
    <row customHeight="1" ht="11.25">
      <c r="A1487" s="1854" t="s">
        <v>2291</v>
      </c>
      <c r="B1487" s="1854" t="s">
        <v>16</v>
      </c>
      <c r="C1487" s="0" t="s">
        <v>3262</v>
      </c>
      <c r="D1487" s="0" t="s">
        <v>3263</v>
      </c>
      <c r="E1487" s="0" t="s">
        <v>3264</v>
      </c>
      <c r="F1487" s="0" t="s">
        <v>2640</v>
      </c>
      <c r="G1487" s="0" t="s">
        <v>3265</v>
      </c>
      <c r="H1487" s="0" t="s">
        <v>22</v>
      </c>
      <c r="I1487" s="0" t="s">
        <v>1671</v>
      </c>
    </row>
    <row customHeight="1" ht="11.25">
      <c r="A1488" s="1854" t="s">
        <v>2291</v>
      </c>
      <c r="B1488" s="1854" t="s">
        <v>16</v>
      </c>
      <c r="C1488" s="0" t="s">
        <v>4816</v>
      </c>
      <c r="D1488" s="0" t="s">
        <v>4817</v>
      </c>
      <c r="E1488" s="0" t="s">
        <v>4818</v>
      </c>
      <c r="F1488" s="0" t="s">
        <v>2405</v>
      </c>
      <c r="G1488" s="0" t="s">
        <v>22</v>
      </c>
      <c r="H1488" s="0" t="s">
        <v>22</v>
      </c>
      <c r="I1488" s="0" t="s">
        <v>1671</v>
      </c>
    </row>
    <row customHeight="1" ht="11.25">
      <c r="A1489" s="1854" t="s">
        <v>2291</v>
      </c>
      <c r="B1489" s="1854" t="s">
        <v>16</v>
      </c>
      <c r="C1489" s="0" t="s">
        <v>4819</v>
      </c>
      <c r="D1489" s="0" t="s">
        <v>4820</v>
      </c>
      <c r="E1489" s="0" t="s">
        <v>4821</v>
      </c>
      <c r="F1489" s="0" t="s">
        <v>2405</v>
      </c>
      <c r="G1489" s="0" t="s">
        <v>22</v>
      </c>
      <c r="H1489" s="0" t="s">
        <v>22</v>
      </c>
      <c r="I1489" s="0" t="s">
        <v>1671</v>
      </c>
    </row>
    <row customHeight="1" ht="11.25">
      <c r="A1490" s="1854" t="s">
        <v>2291</v>
      </c>
      <c r="B1490" s="1854" t="s">
        <v>16</v>
      </c>
      <c r="C1490" s="0" t="s">
        <v>4822</v>
      </c>
      <c r="D1490" s="0" t="s">
        <v>4823</v>
      </c>
      <c r="E1490" s="0" t="s">
        <v>4824</v>
      </c>
      <c r="F1490" s="0" t="s">
        <v>2359</v>
      </c>
      <c r="G1490" s="0" t="s">
        <v>22</v>
      </c>
      <c r="H1490" s="0" t="s">
        <v>22</v>
      </c>
      <c r="I1490" s="0" t="s">
        <v>1671</v>
      </c>
    </row>
    <row customHeight="1" ht="11.25">
      <c r="A1491" s="1854" t="s">
        <v>2291</v>
      </c>
      <c r="B1491" s="1854" t="s">
        <v>16</v>
      </c>
      <c r="C1491" s="0" t="s">
        <v>4825</v>
      </c>
      <c r="D1491" s="0" t="s">
        <v>4826</v>
      </c>
      <c r="E1491" s="0" t="s">
        <v>4827</v>
      </c>
      <c r="F1491" s="0" t="s">
        <v>2351</v>
      </c>
      <c r="G1491" s="0" t="s">
        <v>22</v>
      </c>
      <c r="H1491" s="0" t="s">
        <v>22</v>
      </c>
      <c r="I1491" s="0" t="s">
        <v>1671</v>
      </c>
    </row>
    <row customHeight="1" ht="11.25">
      <c r="A1492" s="1854" t="s">
        <v>2291</v>
      </c>
      <c r="B1492" s="1854" t="s">
        <v>16</v>
      </c>
      <c r="C1492" s="0" t="s">
        <v>4828</v>
      </c>
      <c r="D1492" s="0" t="s">
        <v>4829</v>
      </c>
      <c r="E1492" s="0" t="s">
        <v>4830</v>
      </c>
      <c r="F1492" s="0" t="s">
        <v>2405</v>
      </c>
      <c r="G1492" s="0" t="s">
        <v>22</v>
      </c>
      <c r="H1492" s="0" t="s">
        <v>22</v>
      </c>
      <c r="I1492" s="0" t="s">
        <v>1671</v>
      </c>
    </row>
    <row customHeight="1" ht="11.25">
      <c r="A1493" s="1854" t="s">
        <v>2291</v>
      </c>
      <c r="B1493" s="1854" t="s">
        <v>16</v>
      </c>
      <c r="C1493" s="0" t="s">
        <v>4831</v>
      </c>
      <c r="D1493" s="0" t="s">
        <v>4832</v>
      </c>
      <c r="E1493" s="0" t="s">
        <v>4833</v>
      </c>
      <c r="F1493" s="0" t="s">
        <v>2295</v>
      </c>
      <c r="G1493" s="0" t="s">
        <v>22</v>
      </c>
      <c r="H1493" s="0" t="s">
        <v>22</v>
      </c>
      <c r="I1493" s="0" t="s">
        <v>1671</v>
      </c>
    </row>
    <row customHeight="1" ht="11.25">
      <c r="A1494" s="1854" t="s">
        <v>2291</v>
      </c>
      <c r="B1494" s="1854" t="s">
        <v>16</v>
      </c>
      <c r="C1494" s="0" t="s">
        <v>4834</v>
      </c>
      <c r="D1494" s="0" t="s">
        <v>4835</v>
      </c>
      <c r="E1494" s="0" t="s">
        <v>4836</v>
      </c>
      <c r="F1494" s="0" t="s">
        <v>2393</v>
      </c>
      <c r="G1494" s="0" t="s">
        <v>22</v>
      </c>
      <c r="H1494" s="0" t="s">
        <v>22</v>
      </c>
      <c r="I1494" s="0" t="s">
        <v>1671</v>
      </c>
    </row>
    <row customHeight="1" ht="11.25">
      <c r="A1495" s="1854" t="s">
        <v>2291</v>
      </c>
      <c r="B1495" s="1854" t="s">
        <v>16</v>
      </c>
      <c r="C1495" s="0" t="s">
        <v>4837</v>
      </c>
      <c r="D1495" s="0" t="s">
        <v>4838</v>
      </c>
      <c r="E1495" s="0" t="s">
        <v>4839</v>
      </c>
      <c r="F1495" s="0" t="s">
        <v>2295</v>
      </c>
      <c r="G1495" s="0" t="s">
        <v>22</v>
      </c>
      <c r="H1495" s="0" t="s">
        <v>22</v>
      </c>
      <c r="I1495" s="0" t="s">
        <v>1671</v>
      </c>
    </row>
    <row customHeight="1" ht="11.25">
      <c r="A1496" s="1854" t="s">
        <v>2291</v>
      </c>
      <c r="B1496" s="1854" t="s">
        <v>16</v>
      </c>
      <c r="C1496" s="0" t="s">
        <v>4840</v>
      </c>
      <c r="D1496" s="0" t="s">
        <v>4841</v>
      </c>
      <c r="E1496" s="0" t="s">
        <v>4842</v>
      </c>
      <c r="F1496" s="0" t="s">
        <v>2389</v>
      </c>
      <c r="G1496" s="0" t="s">
        <v>22</v>
      </c>
      <c r="H1496" s="0" t="s">
        <v>22</v>
      </c>
      <c r="I1496" s="0" t="s">
        <v>1671</v>
      </c>
    </row>
    <row customHeight="1" ht="11.25">
      <c r="A1497" s="1854" t="s">
        <v>2291</v>
      </c>
      <c r="B1497" s="1854" t="s">
        <v>16</v>
      </c>
      <c r="C1497" s="0" t="s">
        <v>4843</v>
      </c>
      <c r="D1497" s="0" t="s">
        <v>4844</v>
      </c>
      <c r="E1497" s="0" t="s">
        <v>4845</v>
      </c>
      <c r="F1497" s="0" t="s">
        <v>2351</v>
      </c>
      <c r="G1497" s="0" t="s">
        <v>22</v>
      </c>
      <c r="H1497" s="0" t="s">
        <v>22</v>
      </c>
      <c r="I1497" s="0" t="s">
        <v>1671</v>
      </c>
    </row>
    <row customHeight="1" ht="11.25">
      <c r="A1498" s="1854" t="s">
        <v>2291</v>
      </c>
      <c r="B1498" s="1854" t="s">
        <v>16</v>
      </c>
      <c r="C1498" s="0" t="s">
        <v>4846</v>
      </c>
      <c r="D1498" s="0" t="s">
        <v>4847</v>
      </c>
      <c r="E1498" s="0" t="s">
        <v>4848</v>
      </c>
      <c r="F1498" s="0" t="s">
        <v>2405</v>
      </c>
      <c r="G1498" s="0" t="s">
        <v>22</v>
      </c>
      <c r="H1498" s="0" t="s">
        <v>22</v>
      </c>
      <c r="I1498" s="0" t="s">
        <v>1671</v>
      </c>
    </row>
    <row customHeight="1" ht="11.25">
      <c r="A1499" s="1854" t="s">
        <v>2291</v>
      </c>
      <c r="B1499" s="1854" t="s">
        <v>16</v>
      </c>
      <c r="C1499" s="0" t="s">
        <v>4849</v>
      </c>
      <c r="D1499" s="0" t="s">
        <v>4850</v>
      </c>
      <c r="E1499" s="0" t="s">
        <v>4851</v>
      </c>
      <c r="F1499" s="0" t="s">
        <v>2351</v>
      </c>
      <c r="G1499" s="0" t="s">
        <v>22</v>
      </c>
      <c r="H1499" s="0" t="s">
        <v>22</v>
      </c>
      <c r="I1499" s="0" t="s">
        <v>1671</v>
      </c>
    </row>
    <row customHeight="1" ht="11.25">
      <c r="A1500" s="1854" t="s">
        <v>2291</v>
      </c>
      <c r="B1500" s="1854" t="s">
        <v>16</v>
      </c>
      <c r="C1500" s="0" t="s">
        <v>4852</v>
      </c>
      <c r="D1500" s="0" t="s">
        <v>4853</v>
      </c>
      <c r="E1500" s="0" t="s">
        <v>4854</v>
      </c>
      <c r="F1500" s="0" t="s">
        <v>2393</v>
      </c>
      <c r="G1500" s="0" t="s">
        <v>22</v>
      </c>
      <c r="H1500" s="0" t="s">
        <v>22</v>
      </c>
      <c r="I1500" s="0" t="s">
        <v>1671</v>
      </c>
    </row>
    <row customHeight="1" ht="11.25">
      <c r="A1501" s="1854" t="s">
        <v>2291</v>
      </c>
      <c r="B1501" s="1854" t="s">
        <v>16</v>
      </c>
      <c r="C1501" s="0" t="s">
        <v>4855</v>
      </c>
      <c r="D1501" s="0" t="s">
        <v>4856</v>
      </c>
      <c r="E1501" s="0" t="s">
        <v>4857</v>
      </c>
      <c r="F1501" s="0" t="s">
        <v>2313</v>
      </c>
      <c r="G1501" s="0" t="s">
        <v>4858</v>
      </c>
      <c r="H1501" s="0" t="s">
        <v>22</v>
      </c>
      <c r="I1501" s="0" t="s">
        <v>1671</v>
      </c>
    </row>
    <row customHeight="1" ht="11.25">
      <c r="A1502" s="1854" t="s">
        <v>2291</v>
      </c>
      <c r="B1502" s="1854" t="s">
        <v>16</v>
      </c>
      <c r="C1502" s="0" t="s">
        <v>4859</v>
      </c>
      <c r="D1502" s="0" t="s">
        <v>4860</v>
      </c>
      <c r="E1502" s="0" t="s">
        <v>4861</v>
      </c>
      <c r="F1502" s="0" t="s">
        <v>2750</v>
      </c>
      <c r="G1502" s="0" t="s">
        <v>22</v>
      </c>
      <c r="H1502" s="0" t="s">
        <v>22</v>
      </c>
      <c r="I1502" s="0" t="s">
        <v>1671</v>
      </c>
    </row>
    <row customHeight="1" ht="11.25">
      <c r="A1503" s="1854" t="s">
        <v>2291</v>
      </c>
      <c r="B1503" s="1854" t="s">
        <v>16</v>
      </c>
      <c r="C1503" s="0" t="s">
        <v>4862</v>
      </c>
      <c r="D1503" s="0" t="s">
        <v>4863</v>
      </c>
      <c r="E1503" s="0" t="s">
        <v>4864</v>
      </c>
      <c r="F1503" s="0" t="s">
        <v>2359</v>
      </c>
      <c r="G1503" s="0" t="s">
        <v>22</v>
      </c>
      <c r="H1503" s="0" t="s">
        <v>22</v>
      </c>
      <c r="I1503" s="0" t="s">
        <v>1671</v>
      </c>
    </row>
    <row customHeight="1" ht="11.25">
      <c r="A1504" s="1854" t="s">
        <v>2291</v>
      </c>
      <c r="B1504" s="1854" t="s">
        <v>16</v>
      </c>
      <c r="C1504" s="0" t="s">
        <v>4865</v>
      </c>
      <c r="D1504" s="0" t="s">
        <v>4866</v>
      </c>
      <c r="E1504" s="0" t="s">
        <v>4867</v>
      </c>
      <c r="F1504" s="0" t="s">
        <v>2295</v>
      </c>
      <c r="G1504" s="0" t="s">
        <v>22</v>
      </c>
      <c r="H1504" s="0" t="s">
        <v>22</v>
      </c>
      <c r="I1504" s="0" t="s">
        <v>1671</v>
      </c>
    </row>
    <row customHeight="1" ht="11.25">
      <c r="A1505" s="1854" t="s">
        <v>2291</v>
      </c>
      <c r="B1505" s="1854" t="s">
        <v>16</v>
      </c>
      <c r="C1505" s="0" t="s">
        <v>4868</v>
      </c>
      <c r="D1505" s="0" t="s">
        <v>4869</v>
      </c>
      <c r="E1505" s="0" t="s">
        <v>4870</v>
      </c>
      <c r="F1505" s="0" t="s">
        <v>2416</v>
      </c>
      <c r="G1505" s="0" t="s">
        <v>22</v>
      </c>
      <c r="H1505" s="0" t="s">
        <v>22</v>
      </c>
      <c r="I1505" s="0" t="s">
        <v>1671</v>
      </c>
    </row>
    <row customHeight="1" ht="11.25">
      <c r="A1506" s="1854" t="s">
        <v>2291</v>
      </c>
      <c r="B1506" s="1854" t="s">
        <v>16</v>
      </c>
      <c r="C1506" s="0" t="s">
        <v>4871</v>
      </c>
      <c r="D1506" s="0" t="s">
        <v>4872</v>
      </c>
      <c r="E1506" s="0" t="s">
        <v>4873</v>
      </c>
      <c r="F1506" s="0" t="s">
        <v>2295</v>
      </c>
      <c r="G1506" s="0" t="s">
        <v>22</v>
      </c>
      <c r="H1506" s="0" t="s">
        <v>22</v>
      </c>
      <c r="I1506" s="0" t="s">
        <v>1671</v>
      </c>
    </row>
    <row customHeight="1" ht="11.25">
      <c r="A1507" s="1854" t="s">
        <v>2291</v>
      </c>
      <c r="B1507" s="1854" t="s">
        <v>16</v>
      </c>
      <c r="C1507" s="0" t="s">
        <v>4874</v>
      </c>
      <c r="D1507" s="0" t="s">
        <v>4875</v>
      </c>
      <c r="E1507" s="0" t="s">
        <v>4876</v>
      </c>
      <c r="F1507" s="0" t="s">
        <v>2416</v>
      </c>
      <c r="G1507" s="0" t="s">
        <v>22</v>
      </c>
      <c r="H1507" s="0" t="s">
        <v>22</v>
      </c>
      <c r="I1507" s="0" t="s">
        <v>1671</v>
      </c>
    </row>
    <row customHeight="1" ht="11.25">
      <c r="A1508" s="1854" t="s">
        <v>2291</v>
      </c>
      <c r="B1508" s="1854" t="s">
        <v>16</v>
      </c>
      <c r="C1508" s="0" t="s">
        <v>4877</v>
      </c>
      <c r="D1508" s="0" t="s">
        <v>4878</v>
      </c>
      <c r="E1508" s="0" t="s">
        <v>4879</v>
      </c>
      <c r="F1508" s="0" t="s">
        <v>2295</v>
      </c>
      <c r="G1508" s="0" t="s">
        <v>22</v>
      </c>
      <c r="H1508" s="0" t="s">
        <v>22</v>
      </c>
      <c r="I1508" s="0" t="s">
        <v>1671</v>
      </c>
    </row>
    <row customHeight="1" ht="11.25">
      <c r="A1509" s="1854" t="s">
        <v>2291</v>
      </c>
      <c r="B1509" s="1854" t="s">
        <v>16</v>
      </c>
      <c r="C1509" s="0" t="s">
        <v>4880</v>
      </c>
      <c r="D1509" s="0" t="s">
        <v>4881</v>
      </c>
      <c r="E1509" s="0" t="s">
        <v>4882</v>
      </c>
      <c r="F1509" s="0" t="s">
        <v>2405</v>
      </c>
      <c r="G1509" s="0" t="s">
        <v>22</v>
      </c>
      <c r="H1509" s="0" t="s">
        <v>22</v>
      </c>
      <c r="I1509" s="0" t="s">
        <v>1671</v>
      </c>
    </row>
    <row customHeight="1" ht="11.25">
      <c r="A1510" s="1854" t="s">
        <v>2291</v>
      </c>
      <c r="B1510" s="1854" t="s">
        <v>16</v>
      </c>
      <c r="C1510" s="0" t="s">
        <v>4883</v>
      </c>
      <c r="D1510" s="0" t="s">
        <v>4884</v>
      </c>
      <c r="E1510" s="0" t="s">
        <v>4885</v>
      </c>
      <c r="F1510" s="0" t="s">
        <v>2405</v>
      </c>
      <c r="G1510" s="0" t="s">
        <v>22</v>
      </c>
      <c r="H1510" s="0" t="s">
        <v>22</v>
      </c>
      <c r="I1510" s="0" t="s">
        <v>1671</v>
      </c>
    </row>
    <row customHeight="1" ht="11.25">
      <c r="A1511" s="1854" t="s">
        <v>2291</v>
      </c>
      <c r="B1511" s="1854" t="s">
        <v>16</v>
      </c>
      <c r="C1511" s="0" t="s">
        <v>4886</v>
      </c>
      <c r="D1511" s="0" t="s">
        <v>4887</v>
      </c>
      <c r="E1511" s="0" t="s">
        <v>4888</v>
      </c>
      <c r="F1511" s="0" t="s">
        <v>2393</v>
      </c>
      <c r="G1511" s="0" t="s">
        <v>22</v>
      </c>
      <c r="H1511" s="0" t="s">
        <v>22</v>
      </c>
      <c r="I1511" s="0" t="s">
        <v>1671</v>
      </c>
    </row>
    <row customHeight="1" ht="11.25">
      <c r="A1512" s="1854" t="s">
        <v>2291</v>
      </c>
      <c r="B1512" s="1854" t="s">
        <v>16</v>
      </c>
      <c r="C1512" s="0" t="s">
        <v>4889</v>
      </c>
      <c r="D1512" s="0" t="s">
        <v>4890</v>
      </c>
      <c r="E1512" s="0" t="s">
        <v>4891</v>
      </c>
      <c r="F1512" s="0" t="s">
        <v>3017</v>
      </c>
      <c r="G1512" s="0" t="s">
        <v>22</v>
      </c>
      <c r="H1512" s="0" t="s">
        <v>4892</v>
      </c>
      <c r="I1512" s="0" t="s">
        <v>1671</v>
      </c>
    </row>
    <row customHeight="1" ht="11.25">
      <c r="A1513" s="1854" t="s">
        <v>2291</v>
      </c>
      <c r="B1513" s="1854" t="s">
        <v>16</v>
      </c>
      <c r="C1513" s="0" t="s">
        <v>4893</v>
      </c>
      <c r="D1513" s="0" t="s">
        <v>4894</v>
      </c>
      <c r="E1513" s="0" t="s">
        <v>4895</v>
      </c>
      <c r="F1513" s="0" t="s">
        <v>2377</v>
      </c>
      <c r="G1513" s="0" t="s">
        <v>22</v>
      </c>
      <c r="H1513" s="0" t="s">
        <v>22</v>
      </c>
      <c r="I1513" s="0" t="s">
        <v>1671</v>
      </c>
    </row>
    <row customHeight="1" ht="11.25">
      <c r="A1514" s="1854" t="s">
        <v>2291</v>
      </c>
      <c r="B1514" s="1854" t="s">
        <v>16</v>
      </c>
      <c r="C1514" s="0" t="s">
        <v>4896</v>
      </c>
      <c r="D1514" s="0" t="s">
        <v>4897</v>
      </c>
      <c r="E1514" s="0" t="s">
        <v>4898</v>
      </c>
      <c r="F1514" s="0" t="s">
        <v>3813</v>
      </c>
      <c r="G1514" s="0" t="s">
        <v>22</v>
      </c>
      <c r="H1514" s="0" t="s">
        <v>22</v>
      </c>
      <c r="I1514" s="0" t="s">
        <v>1671</v>
      </c>
    </row>
    <row customHeight="1" ht="11.25">
      <c r="A1515" s="1854" t="s">
        <v>2291</v>
      </c>
      <c r="B1515" s="1854" t="s">
        <v>16</v>
      </c>
      <c r="C1515" s="0" t="s">
        <v>4899</v>
      </c>
      <c r="D1515" s="0" t="s">
        <v>4900</v>
      </c>
      <c r="E1515" s="0" t="s">
        <v>4901</v>
      </c>
      <c r="F1515" s="0" t="s">
        <v>2416</v>
      </c>
      <c r="G1515" s="0" t="s">
        <v>22</v>
      </c>
      <c r="H1515" s="0" t="s">
        <v>22</v>
      </c>
      <c r="I1515" s="0" t="s">
        <v>1671</v>
      </c>
    </row>
    <row customHeight="1" ht="11.25">
      <c r="A1516" s="1854" t="s">
        <v>2291</v>
      </c>
      <c r="B1516" s="1854" t="s">
        <v>16</v>
      </c>
      <c r="C1516" s="0" t="s">
        <v>4902</v>
      </c>
      <c r="D1516" s="0" t="s">
        <v>4903</v>
      </c>
      <c r="E1516" s="0" t="s">
        <v>4904</v>
      </c>
      <c r="F1516" s="0" t="s">
        <v>2640</v>
      </c>
      <c r="G1516" s="0" t="s">
        <v>22</v>
      </c>
      <c r="H1516" s="0" t="s">
        <v>22</v>
      </c>
      <c r="I1516" s="0" t="s">
        <v>1671</v>
      </c>
    </row>
    <row customHeight="1" ht="11.25">
      <c r="A1517" s="1854" t="s">
        <v>2291</v>
      </c>
      <c r="B1517" s="1854" t="s">
        <v>16</v>
      </c>
      <c r="C1517" s="0" t="s">
        <v>4905</v>
      </c>
      <c r="D1517" s="0" t="s">
        <v>4906</v>
      </c>
      <c r="E1517" s="0" t="s">
        <v>4907</v>
      </c>
      <c r="F1517" s="0" t="s">
        <v>3744</v>
      </c>
      <c r="G1517" s="0" t="s">
        <v>22</v>
      </c>
      <c r="H1517" s="0" t="s">
        <v>22</v>
      </c>
      <c r="I1517" s="0" t="s">
        <v>1671</v>
      </c>
    </row>
    <row customHeight="1" ht="11.25">
      <c r="A1518" s="1854" t="s">
        <v>2291</v>
      </c>
      <c r="B1518" s="1854" t="s">
        <v>16</v>
      </c>
      <c r="C1518" s="0" t="s">
        <v>4908</v>
      </c>
      <c r="D1518" s="0" t="s">
        <v>4909</v>
      </c>
      <c r="E1518" s="0" t="s">
        <v>4910</v>
      </c>
      <c r="F1518" s="0" t="s">
        <v>4911</v>
      </c>
      <c r="G1518" s="0" t="s">
        <v>22</v>
      </c>
      <c r="H1518" s="0" t="s">
        <v>22</v>
      </c>
      <c r="I1518" s="0" t="s">
        <v>1671</v>
      </c>
    </row>
    <row customHeight="1" ht="11.25">
      <c r="A1519" s="1854" t="s">
        <v>2291</v>
      </c>
      <c r="B1519" s="1854" t="s">
        <v>16</v>
      </c>
      <c r="C1519" s="0" t="s">
        <v>4912</v>
      </c>
      <c r="D1519" s="0" t="s">
        <v>4913</v>
      </c>
      <c r="E1519" s="0" t="s">
        <v>4914</v>
      </c>
      <c r="F1519" s="0" t="s">
        <v>2351</v>
      </c>
      <c r="G1519" s="0" t="s">
        <v>22</v>
      </c>
      <c r="H1519" s="0" t="s">
        <v>22</v>
      </c>
      <c r="I1519" s="0" t="s">
        <v>1671</v>
      </c>
    </row>
    <row customHeight="1" ht="11.25">
      <c r="A1520" s="1854" t="s">
        <v>2291</v>
      </c>
      <c r="B1520" s="1854" t="s">
        <v>16</v>
      </c>
      <c r="C1520" s="0" t="s">
        <v>4915</v>
      </c>
      <c r="D1520" s="0" t="s">
        <v>4916</v>
      </c>
      <c r="E1520" s="0" t="s">
        <v>4917</v>
      </c>
      <c r="F1520" s="0" t="s">
        <v>2401</v>
      </c>
      <c r="G1520" s="0" t="s">
        <v>22</v>
      </c>
      <c r="H1520" s="0" t="s">
        <v>22</v>
      </c>
      <c r="I1520" s="0" t="s">
        <v>1671</v>
      </c>
    </row>
    <row customHeight="1" ht="11.25">
      <c r="A1521" s="1854" t="s">
        <v>2291</v>
      </c>
      <c r="B1521" s="1854" t="s">
        <v>16</v>
      </c>
      <c r="C1521" s="0" t="s">
        <v>4918</v>
      </c>
      <c r="D1521" s="0" t="s">
        <v>4919</v>
      </c>
      <c r="E1521" s="0" t="s">
        <v>4920</v>
      </c>
      <c r="F1521" s="0" t="s">
        <v>4911</v>
      </c>
      <c r="G1521" s="0" t="s">
        <v>22</v>
      </c>
      <c r="H1521" s="0" t="s">
        <v>4921</v>
      </c>
      <c r="I1521" s="0" t="s">
        <v>1671</v>
      </c>
    </row>
    <row customHeight="1" ht="11.25">
      <c r="A1522" s="1854" t="s">
        <v>2291</v>
      </c>
      <c r="B1522" s="1854" t="s">
        <v>16</v>
      </c>
      <c r="C1522" s="0" t="s">
        <v>4922</v>
      </c>
      <c r="D1522" s="0" t="s">
        <v>4923</v>
      </c>
      <c r="E1522" s="0" t="s">
        <v>4924</v>
      </c>
      <c r="F1522" s="0" t="s">
        <v>2359</v>
      </c>
      <c r="G1522" s="0" t="s">
        <v>22</v>
      </c>
      <c r="H1522" s="0" t="s">
        <v>22</v>
      </c>
      <c r="I1522" s="0" t="s">
        <v>1671</v>
      </c>
    </row>
    <row customHeight="1" ht="11.25">
      <c r="A1523" s="1854" t="s">
        <v>2291</v>
      </c>
      <c r="B1523" s="1854" t="s">
        <v>16</v>
      </c>
      <c r="C1523" s="0" t="s">
        <v>4925</v>
      </c>
      <c r="D1523" s="0" t="s">
        <v>4926</v>
      </c>
      <c r="E1523" s="0" t="s">
        <v>4927</v>
      </c>
      <c r="F1523" s="0" t="s">
        <v>2351</v>
      </c>
      <c r="G1523" s="0" t="s">
        <v>22</v>
      </c>
      <c r="H1523" s="0" t="s">
        <v>22</v>
      </c>
      <c r="I1523" s="0" t="s">
        <v>1671</v>
      </c>
    </row>
    <row customHeight="1" ht="11.25">
      <c r="A1524" s="1854" t="s">
        <v>2291</v>
      </c>
      <c r="B1524" s="1854" t="s">
        <v>16</v>
      </c>
      <c r="C1524" s="0" t="s">
        <v>4928</v>
      </c>
      <c r="D1524" s="0" t="s">
        <v>4929</v>
      </c>
      <c r="E1524" s="0" t="s">
        <v>4930</v>
      </c>
      <c r="F1524" s="0" t="s">
        <v>4931</v>
      </c>
      <c r="G1524" s="0" t="s">
        <v>22</v>
      </c>
      <c r="H1524" s="0" t="s">
        <v>22</v>
      </c>
      <c r="I1524" s="0" t="s">
        <v>1671</v>
      </c>
    </row>
    <row customHeight="1" ht="11.25">
      <c r="A1525" s="1854" t="s">
        <v>2291</v>
      </c>
      <c r="B1525" s="1854" t="s">
        <v>16</v>
      </c>
      <c r="C1525" s="0" t="s">
        <v>4932</v>
      </c>
      <c r="D1525" s="0" t="s">
        <v>4933</v>
      </c>
      <c r="E1525" s="0" t="s">
        <v>4934</v>
      </c>
      <c r="F1525" s="0" t="s">
        <v>2401</v>
      </c>
      <c r="G1525" s="0" t="s">
        <v>22</v>
      </c>
      <c r="H1525" s="0" t="s">
        <v>22</v>
      </c>
      <c r="I1525" s="0" t="s">
        <v>1671</v>
      </c>
    </row>
    <row customHeight="1" ht="11.25">
      <c r="A1526" s="1854" t="s">
        <v>2291</v>
      </c>
      <c r="B1526" s="1854" t="s">
        <v>16</v>
      </c>
      <c r="C1526" s="0" t="s">
        <v>4935</v>
      </c>
      <c r="D1526" s="0" t="s">
        <v>4936</v>
      </c>
      <c r="E1526" s="0" t="s">
        <v>4937</v>
      </c>
      <c r="F1526" s="0" t="s">
        <v>3840</v>
      </c>
      <c r="G1526" s="0" t="s">
        <v>22</v>
      </c>
      <c r="H1526" s="0" t="s">
        <v>22</v>
      </c>
      <c r="I1526" s="0" t="s">
        <v>1671</v>
      </c>
    </row>
    <row customHeight="1" ht="11.25">
      <c r="A1527" s="1854" t="s">
        <v>2291</v>
      </c>
      <c r="B1527" s="1854" t="s">
        <v>16</v>
      </c>
      <c r="C1527" s="0" t="s">
        <v>4938</v>
      </c>
      <c r="D1527" s="0" t="s">
        <v>4939</v>
      </c>
      <c r="E1527" s="0" t="s">
        <v>4940</v>
      </c>
      <c r="F1527" s="0" t="s">
        <v>2351</v>
      </c>
      <c r="G1527" s="0" t="s">
        <v>22</v>
      </c>
      <c r="H1527" s="0" t="s">
        <v>22</v>
      </c>
      <c r="I1527" s="0" t="s">
        <v>1671</v>
      </c>
    </row>
    <row customHeight="1" ht="11.25">
      <c r="A1528" s="1854" t="s">
        <v>2291</v>
      </c>
      <c r="B1528" s="1854" t="s">
        <v>16</v>
      </c>
      <c r="C1528" s="0" t="s">
        <v>4941</v>
      </c>
      <c r="D1528" s="0" t="s">
        <v>4942</v>
      </c>
      <c r="E1528" s="0" t="s">
        <v>4943</v>
      </c>
      <c r="F1528" s="0" t="s">
        <v>2359</v>
      </c>
      <c r="G1528" s="0" t="s">
        <v>22</v>
      </c>
      <c r="H1528" s="0" t="s">
        <v>22</v>
      </c>
      <c r="I1528" s="0" t="s">
        <v>1671</v>
      </c>
    </row>
    <row customHeight="1" ht="11.25">
      <c r="A1529" s="1854" t="s">
        <v>2291</v>
      </c>
      <c r="B1529" s="1854" t="s">
        <v>16</v>
      </c>
      <c r="C1529" s="0" t="s">
        <v>4944</v>
      </c>
      <c r="D1529" s="0" t="s">
        <v>4945</v>
      </c>
      <c r="E1529" s="0" t="s">
        <v>4946</v>
      </c>
      <c r="F1529" s="0" t="s">
        <v>2322</v>
      </c>
      <c r="G1529" s="0" t="s">
        <v>22</v>
      </c>
      <c r="H1529" s="0" t="s">
        <v>22</v>
      </c>
      <c r="I1529" s="0" t="s">
        <v>1671</v>
      </c>
    </row>
    <row customHeight="1" ht="11.25">
      <c r="A1530" s="1854" t="s">
        <v>2291</v>
      </c>
      <c r="B1530" s="1854" t="s">
        <v>16</v>
      </c>
      <c r="C1530" s="0" t="s">
        <v>4947</v>
      </c>
      <c r="D1530" s="0" t="s">
        <v>4948</v>
      </c>
      <c r="E1530" s="0" t="s">
        <v>4949</v>
      </c>
      <c r="F1530" s="0" t="s">
        <v>3277</v>
      </c>
      <c r="G1530" s="0" t="s">
        <v>22</v>
      </c>
      <c r="H1530" s="0" t="s">
        <v>22</v>
      </c>
      <c r="I1530" s="0" t="s">
        <v>1671</v>
      </c>
    </row>
    <row customHeight="1" ht="11.25">
      <c r="A1531" s="1854" t="s">
        <v>2291</v>
      </c>
      <c r="B1531" s="1854" t="s">
        <v>16</v>
      </c>
      <c r="C1531" s="0" t="s">
        <v>4950</v>
      </c>
      <c r="D1531" s="0" t="s">
        <v>4951</v>
      </c>
      <c r="E1531" s="0" t="s">
        <v>4952</v>
      </c>
      <c r="F1531" s="0" t="s">
        <v>2351</v>
      </c>
      <c r="G1531" s="0" t="s">
        <v>22</v>
      </c>
      <c r="H1531" s="0" t="s">
        <v>22</v>
      </c>
      <c r="I1531" s="0" t="s">
        <v>1671</v>
      </c>
    </row>
    <row customHeight="1" ht="11.25">
      <c r="A1532" s="1854" t="s">
        <v>2291</v>
      </c>
      <c r="B1532" s="1854" t="s">
        <v>16</v>
      </c>
      <c r="C1532" s="0" t="s">
        <v>4953</v>
      </c>
      <c r="D1532" s="0" t="s">
        <v>4954</v>
      </c>
      <c r="E1532" s="0" t="s">
        <v>4955</v>
      </c>
      <c r="F1532" s="0" t="s">
        <v>4911</v>
      </c>
      <c r="G1532" s="0" t="s">
        <v>22</v>
      </c>
      <c r="H1532" s="0" t="s">
        <v>22</v>
      </c>
      <c r="I1532" s="0" t="s">
        <v>1671</v>
      </c>
    </row>
    <row customHeight="1" ht="11.25">
      <c r="A1533" s="1854" t="s">
        <v>2291</v>
      </c>
      <c r="B1533" s="1854" t="s">
        <v>16</v>
      </c>
      <c r="C1533" s="0" t="s">
        <v>4956</v>
      </c>
      <c r="D1533" s="0" t="s">
        <v>4957</v>
      </c>
      <c r="E1533" s="0" t="s">
        <v>4958</v>
      </c>
      <c r="F1533" s="0" t="s">
        <v>2420</v>
      </c>
      <c r="G1533" s="0" t="s">
        <v>22</v>
      </c>
      <c r="H1533" s="0" t="s">
        <v>22</v>
      </c>
      <c r="I1533" s="0" t="s">
        <v>1671</v>
      </c>
    </row>
    <row customHeight="1" ht="11.25">
      <c r="A1534" s="1854" t="s">
        <v>2291</v>
      </c>
      <c r="B1534" s="1854" t="s">
        <v>16</v>
      </c>
      <c r="C1534" s="0" t="s">
        <v>22</v>
      </c>
      <c r="D1534" s="0" t="s">
        <v>4236</v>
      </c>
      <c r="E1534" s="0" t="s">
        <v>4237</v>
      </c>
      <c r="F1534" s="0" t="s">
        <v>2393</v>
      </c>
      <c r="G1534" s="0" t="s">
        <v>22</v>
      </c>
      <c r="H1534" s="0" t="s">
        <v>22</v>
      </c>
      <c r="I1534" s="0" t="s">
        <v>1671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B639F-D2E3-EC57-FA62-9775D2F48FCA}"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4" width="9.140625"/>
  </cols>
  <sheetData>
    <row customHeight="1" ht="11.25">
      <c r="A1" s="380" t="s">
        <v>4959</v>
      </c>
      <c r="B1" s="71" t="s">
        <v>4960</v>
      </c>
      <c r="C1" s="69" t="s">
        <v>4961</v>
      </c>
      <c r="D1" s="69" t="s">
        <v>4962</v>
      </c>
      <c r="E1" s="69" t="s">
        <v>4963</v>
      </c>
      <c r="F1" s="69" t="s">
        <v>4964</v>
      </c>
      <c r="G1" s="69" t="s">
        <v>4965</v>
      </c>
    </row>
    <row customHeight="1" ht="11.25">
      <c r="A2" s="380" t="s">
        <v>16</v>
      </c>
      <c r="B2" s="0" t="s">
        <v>4966</v>
      </c>
      <c r="C2" s="0" t="s">
        <v>4967</v>
      </c>
      <c r="D2" s="0" t="s">
        <v>4966</v>
      </c>
      <c r="E2" s="0" t="s">
        <v>4967</v>
      </c>
      <c r="F2" s="0" t="s">
        <v>4968</v>
      </c>
      <c r="G2" s="0" t="s">
        <v>109</v>
      </c>
    </row>
    <row customHeight="1" ht="11.25">
      <c r="A3" s="1854" t="s">
        <v>16</v>
      </c>
      <c r="B3" s="0" t="s">
        <v>4969</v>
      </c>
      <c r="C3" s="0" t="s">
        <v>4970</v>
      </c>
      <c r="D3" s="0" t="s">
        <v>4969</v>
      </c>
      <c r="E3" s="0" t="s">
        <v>4970</v>
      </c>
      <c r="F3" s="0" t="s">
        <v>4971</v>
      </c>
      <c r="G3" s="0" t="s">
        <v>110</v>
      </c>
    </row>
    <row customHeight="1" ht="11.25">
      <c r="A4" s="1854" t="s">
        <v>16</v>
      </c>
      <c r="B4" s="0" t="s">
        <v>4972</v>
      </c>
      <c r="C4" s="0" t="s">
        <v>4973</v>
      </c>
      <c r="D4" s="0" t="s">
        <v>4972</v>
      </c>
      <c r="E4" s="0" t="s">
        <v>4973</v>
      </c>
      <c r="F4" s="0" t="s">
        <v>4968</v>
      </c>
      <c r="G4" s="0" t="s">
        <v>90</v>
      </c>
    </row>
    <row customHeight="1" ht="11.25">
      <c r="A5" s="1854" t="s">
        <v>16</v>
      </c>
      <c r="B5" s="0" t="s">
        <v>4974</v>
      </c>
      <c r="C5" s="0" t="s">
        <v>4975</v>
      </c>
      <c r="D5" s="0" t="s">
        <v>4974</v>
      </c>
      <c r="E5" s="0" t="s">
        <v>4975</v>
      </c>
      <c r="F5" s="0" t="s">
        <v>4971</v>
      </c>
      <c r="G5" s="0" t="s">
        <v>91</v>
      </c>
    </row>
    <row customHeight="1" ht="11.25">
      <c r="A6" s="1854" t="s">
        <v>16</v>
      </c>
      <c r="B6" s="0" t="s">
        <v>4976</v>
      </c>
      <c r="C6" s="0" t="s">
        <v>4977</v>
      </c>
      <c r="D6" s="0" t="s">
        <v>4976</v>
      </c>
      <c r="E6" s="0" t="s">
        <v>4977</v>
      </c>
      <c r="F6" s="0" t="s">
        <v>4968</v>
      </c>
      <c r="G6" s="0" t="s">
        <v>111</v>
      </c>
    </row>
    <row customHeight="1" ht="11.25">
      <c r="A7" s="1854" t="s">
        <v>16</v>
      </c>
      <c r="B7" s="0" t="s">
        <v>4978</v>
      </c>
      <c r="C7" s="0" t="s">
        <v>4979</v>
      </c>
      <c r="D7" s="0" t="s">
        <v>4978</v>
      </c>
      <c r="E7" s="0" t="s">
        <v>4979</v>
      </c>
      <c r="F7" s="0" t="s">
        <v>4971</v>
      </c>
      <c r="G7" s="0" t="s">
        <v>92</v>
      </c>
    </row>
    <row customHeight="1" ht="11.25">
      <c r="A8" s="1854" t="s">
        <v>16</v>
      </c>
      <c r="B8" s="0" t="s">
        <v>4980</v>
      </c>
      <c r="C8" s="0" t="s">
        <v>4981</v>
      </c>
      <c r="D8" s="0" t="s">
        <v>4980</v>
      </c>
      <c r="E8" s="0" t="s">
        <v>4981</v>
      </c>
      <c r="F8" s="0" t="s">
        <v>4968</v>
      </c>
      <c r="G8" s="0" t="s">
        <v>93</v>
      </c>
    </row>
    <row customHeight="1" ht="11.25">
      <c r="A9" s="1854" t="s">
        <v>16</v>
      </c>
      <c r="B9" s="0" t="s">
        <v>4982</v>
      </c>
      <c r="C9" s="0" t="s">
        <v>4983</v>
      </c>
      <c r="D9" s="0" t="s">
        <v>4982</v>
      </c>
      <c r="E9" s="0" t="s">
        <v>4983</v>
      </c>
      <c r="F9" s="0" t="s">
        <v>4971</v>
      </c>
      <c r="G9" s="0" t="s">
        <v>112</v>
      </c>
    </row>
    <row customHeight="1" ht="11.25">
      <c r="A10" s="1854" t="s">
        <v>16</v>
      </c>
      <c r="B10" s="0" t="s">
        <v>4984</v>
      </c>
      <c r="C10" s="0" t="s">
        <v>4985</v>
      </c>
      <c r="D10" s="0" t="s">
        <v>4984</v>
      </c>
      <c r="E10" s="0" t="s">
        <v>4985</v>
      </c>
      <c r="F10" s="0" t="s">
        <v>4968</v>
      </c>
      <c r="G10" s="0" t="s">
        <v>149</v>
      </c>
    </row>
    <row customHeight="1" ht="11.25">
      <c r="A11" s="1854" t="s">
        <v>16</v>
      </c>
      <c r="B11" s="0" t="s">
        <v>4986</v>
      </c>
      <c r="C11" s="0" t="s">
        <v>4987</v>
      </c>
      <c r="D11" s="0" t="s">
        <v>4986</v>
      </c>
      <c r="E11" s="0" t="s">
        <v>4987</v>
      </c>
      <c r="F11" s="0" t="s">
        <v>4971</v>
      </c>
      <c r="G11" s="0" t="s">
        <v>150</v>
      </c>
    </row>
    <row customHeight="1" ht="11.25">
      <c r="A12" s="1854" t="s">
        <v>16</v>
      </c>
      <c r="B12" s="0" t="s">
        <v>4988</v>
      </c>
      <c r="C12" s="0" t="s">
        <v>4989</v>
      </c>
      <c r="D12" s="0" t="s">
        <v>4990</v>
      </c>
      <c r="E12" s="0" t="s">
        <v>4991</v>
      </c>
      <c r="F12" s="0" t="s">
        <v>4992</v>
      </c>
      <c r="G12" s="0" t="s">
        <v>151</v>
      </c>
    </row>
    <row customHeight="1" ht="11.25">
      <c r="A13" s="1854" t="s">
        <v>16</v>
      </c>
      <c r="B13" s="0" t="s">
        <v>4988</v>
      </c>
      <c r="C13" s="0" t="s">
        <v>4989</v>
      </c>
      <c r="D13" s="0" t="s">
        <v>4988</v>
      </c>
      <c r="E13" s="0" t="s">
        <v>4989</v>
      </c>
      <c r="F13" s="0" t="s">
        <v>4993</v>
      </c>
      <c r="G13" s="0" t="s">
        <v>152</v>
      </c>
    </row>
    <row customHeight="1" ht="11.25">
      <c r="A14" s="1854" t="s">
        <v>16</v>
      </c>
      <c r="B14" s="0" t="s">
        <v>4988</v>
      </c>
      <c r="C14" s="0" t="s">
        <v>4989</v>
      </c>
      <c r="D14" s="0" t="s">
        <v>4994</v>
      </c>
      <c r="E14" s="0" t="s">
        <v>4995</v>
      </c>
      <c r="F14" s="0" t="s">
        <v>4992</v>
      </c>
      <c r="G14" s="0" t="s">
        <v>153</v>
      </c>
    </row>
    <row customHeight="1" ht="11.25">
      <c r="A15" s="1854" t="s">
        <v>16</v>
      </c>
      <c r="B15" s="0" t="s">
        <v>4988</v>
      </c>
      <c r="C15" s="0" t="s">
        <v>4989</v>
      </c>
      <c r="D15" s="0" t="s">
        <v>4996</v>
      </c>
      <c r="E15" s="0" t="s">
        <v>4997</v>
      </c>
      <c r="F15" s="0" t="s">
        <v>4992</v>
      </c>
      <c r="G15" s="0" t="s">
        <v>154</v>
      </c>
    </row>
    <row customHeight="1" ht="11.25">
      <c r="A16" s="1854" t="s">
        <v>16</v>
      </c>
      <c r="B16" s="0" t="s">
        <v>4998</v>
      </c>
      <c r="C16" s="0" t="s">
        <v>4999</v>
      </c>
      <c r="D16" s="0" t="s">
        <v>4998</v>
      </c>
      <c r="E16" s="0" t="s">
        <v>4999</v>
      </c>
      <c r="F16" s="0" t="s">
        <v>4968</v>
      </c>
      <c r="G16" s="0" t="s">
        <v>1517</v>
      </c>
    </row>
    <row customHeight="1" ht="11.25">
      <c r="A17" s="1854" t="s">
        <v>16</v>
      </c>
      <c r="B17" s="0" t="s">
        <v>5000</v>
      </c>
      <c r="C17" s="0" t="s">
        <v>5001</v>
      </c>
      <c r="D17" s="0" t="s">
        <v>5000</v>
      </c>
      <c r="E17" s="0" t="s">
        <v>5001</v>
      </c>
      <c r="F17" s="0" t="s">
        <v>4971</v>
      </c>
      <c r="G17" s="0" t="s">
        <v>1523</v>
      </c>
    </row>
    <row customHeight="1" ht="11.25">
      <c r="A18" s="1854" t="s">
        <v>16</v>
      </c>
      <c r="B18" s="0" t="s">
        <v>5002</v>
      </c>
      <c r="C18" s="0" t="s">
        <v>5003</v>
      </c>
      <c r="D18" s="0" t="s">
        <v>5002</v>
      </c>
      <c r="E18" s="0" t="s">
        <v>5003</v>
      </c>
      <c r="F18" s="0" t="s">
        <v>4968</v>
      </c>
      <c r="G18" s="0" t="s">
        <v>1535</v>
      </c>
    </row>
    <row customHeight="1" ht="11.25">
      <c r="A19" s="1854" t="s">
        <v>16</v>
      </c>
      <c r="B19" s="0" t="s">
        <v>5004</v>
      </c>
      <c r="C19" s="0" t="s">
        <v>5005</v>
      </c>
      <c r="D19" s="0" t="s">
        <v>5004</v>
      </c>
      <c r="E19" s="0" t="s">
        <v>5005</v>
      </c>
      <c r="F19" s="0" t="s">
        <v>4971</v>
      </c>
      <c r="G19" s="0" t="s">
        <v>1549</v>
      </c>
    </row>
    <row customHeight="1" ht="11.25">
      <c r="A20" s="1854" t="s">
        <v>16</v>
      </c>
      <c r="B20" s="0" t="s">
        <v>5006</v>
      </c>
      <c r="C20" s="0" t="s">
        <v>5007</v>
      </c>
      <c r="D20" s="0" t="s">
        <v>5006</v>
      </c>
      <c r="E20" s="0" t="s">
        <v>5007</v>
      </c>
      <c r="F20" s="0" t="s">
        <v>4968</v>
      </c>
      <c r="G20" s="0" t="s">
        <v>1561</v>
      </c>
    </row>
    <row customHeight="1" ht="11.25">
      <c r="A21" s="1854" t="s">
        <v>16</v>
      </c>
      <c r="B21" s="0" t="s">
        <v>5008</v>
      </c>
      <c r="C21" s="0" t="s">
        <v>5009</v>
      </c>
      <c r="D21" s="0" t="s">
        <v>5008</v>
      </c>
      <c r="E21" s="0" t="s">
        <v>5009</v>
      </c>
      <c r="F21" s="0" t="s">
        <v>4971</v>
      </c>
      <c r="G21" s="0" t="s">
        <v>1570</v>
      </c>
    </row>
    <row customHeight="1" ht="11.25">
      <c r="A22" s="1854" t="s">
        <v>16</v>
      </c>
      <c r="B22" s="0" t="s">
        <v>5010</v>
      </c>
      <c r="C22" s="0" t="s">
        <v>5011</v>
      </c>
      <c r="D22" s="0" t="s">
        <v>5010</v>
      </c>
      <c r="E22" s="0" t="s">
        <v>5011</v>
      </c>
      <c r="F22" s="0" t="s">
        <v>4968</v>
      </c>
      <c r="G22" s="0" t="s">
        <v>1586</v>
      </c>
    </row>
    <row customHeight="1" ht="11.25">
      <c r="A23" s="1854" t="s">
        <v>16</v>
      </c>
      <c r="B23" s="0" t="s">
        <v>5012</v>
      </c>
      <c r="C23" s="0" t="s">
        <v>5013</v>
      </c>
      <c r="D23" s="0" t="s">
        <v>5012</v>
      </c>
      <c r="E23" s="0" t="s">
        <v>5013</v>
      </c>
      <c r="F23" s="0" t="s">
        <v>4968</v>
      </c>
      <c r="G23" s="0" t="s">
        <v>1592</v>
      </c>
    </row>
    <row customHeight="1" ht="11.25">
      <c r="A24" s="1854" t="s">
        <v>16</v>
      </c>
      <c r="B24" s="0" t="s">
        <v>5014</v>
      </c>
      <c r="C24" s="0" t="s">
        <v>5015</v>
      </c>
      <c r="D24" s="0" t="s">
        <v>5014</v>
      </c>
      <c r="E24" s="0" t="s">
        <v>5015</v>
      </c>
      <c r="F24" s="0" t="s">
        <v>4971</v>
      </c>
      <c r="G24" s="0" t="s">
        <v>1600</v>
      </c>
    </row>
    <row customHeight="1" ht="11.25">
      <c r="A25" s="1854" t="s">
        <v>16</v>
      </c>
      <c r="B25" s="0" t="s">
        <v>5016</v>
      </c>
      <c r="C25" s="0" t="s">
        <v>5017</v>
      </c>
      <c r="D25" s="0" t="s">
        <v>5016</v>
      </c>
      <c r="E25" s="0" t="s">
        <v>5017</v>
      </c>
      <c r="F25" s="0" t="s">
        <v>4968</v>
      </c>
      <c r="G25" s="0" t="s">
        <v>1607</v>
      </c>
    </row>
    <row customHeight="1" ht="11.25">
      <c r="A26" s="1854" t="s">
        <v>16</v>
      </c>
      <c r="B26" s="0" t="s">
        <v>5018</v>
      </c>
      <c r="C26" s="0" t="s">
        <v>5019</v>
      </c>
      <c r="D26" s="0" t="s">
        <v>5018</v>
      </c>
      <c r="E26" s="0" t="s">
        <v>5019</v>
      </c>
      <c r="F26" s="0" t="s">
        <v>4968</v>
      </c>
      <c r="G26" s="0" t="s">
        <v>1611</v>
      </c>
    </row>
    <row customHeight="1" ht="11.25">
      <c r="A27" s="1854" t="s">
        <v>16</v>
      </c>
      <c r="B27" s="0" t="s">
        <v>5020</v>
      </c>
      <c r="C27" s="0" t="s">
        <v>5021</v>
      </c>
      <c r="D27" s="0" t="s">
        <v>5020</v>
      </c>
      <c r="E27" s="0" t="s">
        <v>5021</v>
      </c>
      <c r="F27" s="0" t="s">
        <v>4968</v>
      </c>
      <c r="G27" s="0" t="s">
        <v>1616</v>
      </c>
    </row>
    <row customHeight="1" ht="11.25">
      <c r="A28" s="1854" t="s">
        <v>16</v>
      </c>
      <c r="B28" s="0" t="s">
        <v>5022</v>
      </c>
      <c r="C28" s="0" t="s">
        <v>5023</v>
      </c>
      <c r="D28" s="0" t="s">
        <v>5022</v>
      </c>
      <c r="E28" s="0" t="s">
        <v>5023</v>
      </c>
      <c r="F28" s="0" t="s">
        <v>4971</v>
      </c>
      <c r="G28" s="0" t="s">
        <v>1624</v>
      </c>
    </row>
    <row customHeight="1" ht="11.25">
      <c r="A29" s="1854" t="s">
        <v>16</v>
      </c>
      <c r="B29" s="0" t="s">
        <v>5024</v>
      </c>
      <c r="C29" s="0" t="s">
        <v>5025</v>
      </c>
      <c r="D29" s="0" t="s">
        <v>5024</v>
      </c>
      <c r="E29" s="0" t="s">
        <v>5025</v>
      </c>
      <c r="F29" s="0" t="s">
        <v>4968</v>
      </c>
      <c r="G29" s="0" t="s">
        <v>1626</v>
      </c>
    </row>
    <row customHeight="1" ht="11.25">
      <c r="A30" s="1854" t="s">
        <v>16</v>
      </c>
      <c r="B30" s="0" t="s">
        <v>5026</v>
      </c>
      <c r="C30" s="0" t="s">
        <v>5027</v>
      </c>
      <c r="D30" s="0" t="s">
        <v>5026</v>
      </c>
      <c r="E30" s="0" t="s">
        <v>5027</v>
      </c>
      <c r="F30" s="0" t="s">
        <v>4971</v>
      </c>
      <c r="G30" s="0" t="s">
        <v>1629</v>
      </c>
    </row>
    <row customHeight="1" ht="11.25">
      <c r="A31" s="1854" t="s">
        <v>16</v>
      </c>
      <c r="B31" s="0" t="s">
        <v>5028</v>
      </c>
      <c r="C31" s="0" t="s">
        <v>5029</v>
      </c>
      <c r="D31" s="0" t="s">
        <v>5028</v>
      </c>
      <c r="E31" s="0" t="s">
        <v>5029</v>
      </c>
      <c r="F31" s="0" t="s">
        <v>4968</v>
      </c>
      <c r="G31" s="0" t="s">
        <v>1635</v>
      </c>
    </row>
    <row customHeight="1" ht="11.25">
      <c r="A32" s="1854" t="s">
        <v>16</v>
      </c>
      <c r="B32" s="0" t="s">
        <v>5030</v>
      </c>
      <c r="C32" s="0" t="s">
        <v>5031</v>
      </c>
      <c r="D32" s="0" t="s">
        <v>5030</v>
      </c>
      <c r="E32" s="0" t="s">
        <v>5031</v>
      </c>
      <c r="F32" s="0" t="s">
        <v>4971</v>
      </c>
      <c r="G32" s="0" t="s">
        <v>1637</v>
      </c>
    </row>
    <row customHeight="1" ht="11.25">
      <c r="A33" s="1854" t="s">
        <v>16</v>
      </c>
      <c r="B33" s="0" t="s">
        <v>5032</v>
      </c>
      <c r="C33" s="0" t="s">
        <v>5033</v>
      </c>
      <c r="D33" s="0" t="s">
        <v>5032</v>
      </c>
      <c r="E33" s="0" t="s">
        <v>5033</v>
      </c>
      <c r="F33" s="0" t="s">
        <v>4971</v>
      </c>
      <c r="G33" s="0" t="s">
        <v>1639</v>
      </c>
    </row>
    <row customHeight="1" ht="11.25">
      <c r="A34" s="1854" t="s">
        <v>16</v>
      </c>
      <c r="B34" s="0" t="s">
        <v>5034</v>
      </c>
      <c r="C34" s="0" t="s">
        <v>5035</v>
      </c>
      <c r="D34" s="0" t="s">
        <v>5034</v>
      </c>
      <c r="E34" s="0" t="s">
        <v>5035</v>
      </c>
      <c r="F34" s="0" t="s">
        <v>4968</v>
      </c>
      <c r="G34" s="0" t="s">
        <v>1641</v>
      </c>
    </row>
    <row customHeight="1" ht="11.25">
      <c r="A35" s="1854" t="s">
        <v>16</v>
      </c>
      <c r="B35" s="0" t="s">
        <v>5036</v>
      </c>
      <c r="C35" s="0" t="s">
        <v>5037</v>
      </c>
      <c r="D35" s="0" t="s">
        <v>5036</v>
      </c>
      <c r="E35" s="0" t="s">
        <v>5037</v>
      </c>
      <c r="F35" s="0" t="s">
        <v>4968</v>
      </c>
      <c r="G35" s="0" t="s">
        <v>1646</v>
      </c>
    </row>
    <row customHeight="1" ht="11.25">
      <c r="A36" s="1854" t="s">
        <v>16</v>
      </c>
      <c r="B36" s="0" t="s">
        <v>5038</v>
      </c>
      <c r="C36" s="0" t="s">
        <v>5039</v>
      </c>
      <c r="D36" s="0" t="s">
        <v>5038</v>
      </c>
      <c r="E36" s="0" t="s">
        <v>5039</v>
      </c>
      <c r="F36" s="0" t="s">
        <v>4968</v>
      </c>
      <c r="G36" s="0" t="s">
        <v>1650</v>
      </c>
    </row>
    <row customHeight="1" ht="11.25">
      <c r="A37" s="1854" t="s">
        <v>16</v>
      </c>
      <c r="B37" s="0" t="s">
        <v>5040</v>
      </c>
      <c r="C37" s="0" t="s">
        <v>5041</v>
      </c>
      <c r="D37" s="0" t="s">
        <v>5040</v>
      </c>
      <c r="E37" s="0" t="s">
        <v>5041</v>
      </c>
      <c r="F37" s="0" t="s">
        <v>4971</v>
      </c>
      <c r="G37" s="0" t="s">
        <v>1654</v>
      </c>
    </row>
    <row customHeight="1" ht="11.25">
      <c r="A38" s="1854" t="s">
        <v>16</v>
      </c>
      <c r="B38" s="0" t="s">
        <v>5042</v>
      </c>
      <c r="C38" s="0" t="s">
        <v>5043</v>
      </c>
      <c r="D38" s="0" t="s">
        <v>5042</v>
      </c>
      <c r="E38" s="0" t="s">
        <v>5043</v>
      </c>
      <c r="F38" s="0" t="s">
        <v>4968</v>
      </c>
      <c r="G38" s="0" t="s">
        <v>1662</v>
      </c>
    </row>
    <row customHeight="1" ht="11.25">
      <c r="A39" s="1854" t="s">
        <v>16</v>
      </c>
      <c r="B39" s="0" t="s">
        <v>5044</v>
      </c>
      <c r="C39" s="0" t="s">
        <v>5045</v>
      </c>
      <c r="D39" s="0" t="s">
        <v>5044</v>
      </c>
      <c r="E39" s="0" t="s">
        <v>5045</v>
      </c>
      <c r="F39" s="0" t="s">
        <v>4971</v>
      </c>
      <c r="G39" s="0" t="s">
        <v>1667</v>
      </c>
    </row>
    <row customHeight="1" ht="11.25">
      <c r="A40" s="1854" t="s">
        <v>16</v>
      </c>
      <c r="B40" s="0" t="s">
        <v>5046</v>
      </c>
      <c r="C40" s="0" t="s">
        <v>5047</v>
      </c>
      <c r="D40" s="0" t="s">
        <v>5046</v>
      </c>
      <c r="E40" s="0" t="s">
        <v>5047</v>
      </c>
      <c r="F40" s="0" t="s">
        <v>4968</v>
      </c>
      <c r="G40" s="0" t="s">
        <v>1672</v>
      </c>
    </row>
    <row customHeight="1" ht="11.25">
      <c r="A41" s="1854" t="s">
        <v>16</v>
      </c>
      <c r="B41" s="0" t="s">
        <v>5048</v>
      </c>
      <c r="C41" s="0" t="s">
        <v>5049</v>
      </c>
      <c r="D41" s="0" t="s">
        <v>5048</v>
      </c>
      <c r="E41" s="0" t="s">
        <v>5049</v>
      </c>
      <c r="F41" s="0" t="s">
        <v>4971</v>
      </c>
      <c r="G41" s="0" t="s">
        <v>1676</v>
      </c>
    </row>
    <row customHeight="1" ht="11.25">
      <c r="A42" s="1854" t="s">
        <v>16</v>
      </c>
      <c r="B42" s="0" t="s">
        <v>5050</v>
      </c>
      <c r="C42" s="0" t="s">
        <v>5051</v>
      </c>
      <c r="D42" s="0" t="s">
        <v>5050</v>
      </c>
      <c r="E42" s="0" t="s">
        <v>5051</v>
      </c>
      <c r="F42" s="0" t="s">
        <v>4971</v>
      </c>
      <c r="G42" s="0" t="s">
        <v>1679</v>
      </c>
    </row>
    <row customHeight="1" ht="11.25">
      <c r="A43" s="1854" t="s">
        <v>16</v>
      </c>
      <c r="B43" s="0" t="s">
        <v>5052</v>
      </c>
      <c r="C43" s="0" t="s">
        <v>5053</v>
      </c>
      <c r="D43" s="0" t="s">
        <v>5052</v>
      </c>
      <c r="E43" s="0" t="s">
        <v>5053</v>
      </c>
      <c r="F43" s="0" t="s">
        <v>4968</v>
      </c>
      <c r="G43" s="0" t="s">
        <v>1686</v>
      </c>
    </row>
    <row customHeight="1" ht="11.25">
      <c r="A44" s="1854" t="s">
        <v>16</v>
      </c>
      <c r="B44" s="0" t="s">
        <v>5054</v>
      </c>
      <c r="C44" s="0" t="s">
        <v>5055</v>
      </c>
      <c r="D44" s="0" t="s">
        <v>5054</v>
      </c>
      <c r="E44" s="0" t="s">
        <v>5055</v>
      </c>
      <c r="F44" s="0" t="s">
        <v>4968</v>
      </c>
      <c r="G44" s="0" t="s">
        <v>1695</v>
      </c>
    </row>
    <row customHeight="1" ht="11.25">
      <c r="A45" s="1854" t="s">
        <v>16</v>
      </c>
      <c r="B45" s="0" t="s">
        <v>5056</v>
      </c>
      <c r="C45" s="0" t="s">
        <v>5057</v>
      </c>
      <c r="D45" s="0" t="s">
        <v>5056</v>
      </c>
      <c r="E45" s="0" t="s">
        <v>5057</v>
      </c>
      <c r="F45" s="0" t="s">
        <v>4971</v>
      </c>
      <c r="G45" s="0" t="s">
        <v>1700</v>
      </c>
    </row>
    <row customHeight="1" ht="11.25">
      <c r="A46" s="1854" t="s">
        <v>16</v>
      </c>
      <c r="B46" s="0" t="s">
        <v>5058</v>
      </c>
      <c r="C46" s="0" t="s">
        <v>5059</v>
      </c>
      <c r="D46" s="0" t="s">
        <v>5058</v>
      </c>
      <c r="E46" s="0" t="s">
        <v>5059</v>
      </c>
      <c r="F46" s="0" t="s">
        <v>4968</v>
      </c>
      <c r="G46" s="0" t="s">
        <v>1704</v>
      </c>
    </row>
    <row customHeight="1" ht="11.25">
      <c r="A47" s="1854" t="s">
        <v>16</v>
      </c>
      <c r="B47" s="0" t="s">
        <v>5060</v>
      </c>
      <c r="C47" s="0" t="s">
        <v>5061</v>
      </c>
      <c r="D47" s="0" t="s">
        <v>5060</v>
      </c>
      <c r="E47" s="0" t="s">
        <v>5061</v>
      </c>
      <c r="F47" s="0" t="s">
        <v>4971</v>
      </c>
      <c r="G47" s="0" t="s">
        <v>1709</v>
      </c>
    </row>
    <row customHeight="1" ht="11.25">
      <c r="A48" s="1854" t="s">
        <v>16</v>
      </c>
      <c r="B48" s="0" t="s">
        <v>5062</v>
      </c>
      <c r="C48" s="0" t="s">
        <v>5063</v>
      </c>
      <c r="D48" s="0" t="s">
        <v>5062</v>
      </c>
      <c r="E48" s="0" t="s">
        <v>5063</v>
      </c>
      <c r="F48" s="0" t="s">
        <v>4968</v>
      </c>
      <c r="G48" s="0" t="s">
        <v>1714</v>
      </c>
    </row>
    <row customHeight="1" ht="11.25">
      <c r="A49" s="1854" t="s">
        <v>16</v>
      </c>
      <c r="B49" s="0" t="s">
        <v>5064</v>
      </c>
      <c r="C49" s="0" t="s">
        <v>5065</v>
      </c>
      <c r="D49" s="0" t="s">
        <v>5064</v>
      </c>
      <c r="E49" s="0" t="s">
        <v>5065</v>
      </c>
      <c r="F49" s="0" t="s">
        <v>4968</v>
      </c>
      <c r="G49" s="0" t="s">
        <v>1717</v>
      </c>
    </row>
    <row customHeight="1" ht="11.25">
      <c r="A50" s="1854" t="s">
        <v>16</v>
      </c>
      <c r="B50" s="0" t="s">
        <v>5066</v>
      </c>
      <c r="C50" s="0" t="s">
        <v>5067</v>
      </c>
      <c r="D50" s="0" t="s">
        <v>5066</v>
      </c>
      <c r="E50" s="0" t="s">
        <v>5067</v>
      </c>
      <c r="F50" s="0" t="s">
        <v>4968</v>
      </c>
      <c r="G50" s="0" t="s">
        <v>1721</v>
      </c>
    </row>
    <row customHeight="1" ht="11.25">
      <c r="A51" s="1854" t="s">
        <v>16</v>
      </c>
      <c r="B51" s="0" t="s">
        <v>5068</v>
      </c>
      <c r="C51" s="0" t="s">
        <v>5069</v>
      </c>
      <c r="D51" s="0" t="s">
        <v>5068</v>
      </c>
      <c r="E51" s="0" t="s">
        <v>5069</v>
      </c>
      <c r="F51" s="0" t="s">
        <v>4968</v>
      </c>
      <c r="G51" s="0" t="s">
        <v>1726</v>
      </c>
    </row>
    <row customHeight="1" ht="11.25">
      <c r="A52" s="1854" t="s">
        <v>16</v>
      </c>
      <c r="B52" s="0" t="s">
        <v>5070</v>
      </c>
      <c r="C52" s="0" t="s">
        <v>5071</v>
      </c>
      <c r="D52" s="0" t="s">
        <v>5070</v>
      </c>
      <c r="E52" s="0" t="s">
        <v>5071</v>
      </c>
      <c r="F52" s="0" t="s">
        <v>4971</v>
      </c>
      <c r="G52" s="0" t="s">
        <v>1730</v>
      </c>
    </row>
    <row customHeight="1" ht="11.25">
      <c r="A53" s="1854" t="s">
        <v>16</v>
      </c>
      <c r="B53" s="0" t="s">
        <v>5072</v>
      </c>
      <c r="C53" s="0" t="s">
        <v>5073</v>
      </c>
      <c r="D53" s="0" t="s">
        <v>5072</v>
      </c>
      <c r="E53" s="0" t="s">
        <v>5073</v>
      </c>
      <c r="F53" s="0" t="s">
        <v>4968</v>
      </c>
      <c r="G53" s="0" t="s">
        <v>1732</v>
      </c>
    </row>
    <row customHeight="1" ht="11.25">
      <c r="A54" s="1854" t="s">
        <v>16</v>
      </c>
      <c r="B54" s="0" t="s">
        <v>5074</v>
      </c>
      <c r="C54" s="0" t="s">
        <v>5075</v>
      </c>
      <c r="D54" s="0" t="s">
        <v>5074</v>
      </c>
      <c r="E54" s="0" t="s">
        <v>5075</v>
      </c>
      <c r="F54" s="0" t="s">
        <v>4971</v>
      </c>
      <c r="G54" s="0" t="s">
        <v>1735</v>
      </c>
    </row>
    <row customHeight="1" ht="11.25">
      <c r="A55" s="1854" t="s">
        <v>16</v>
      </c>
      <c r="B55" s="0" t="s">
        <v>5076</v>
      </c>
      <c r="C55" s="0" t="s">
        <v>5077</v>
      </c>
      <c r="D55" s="0" t="s">
        <v>5076</v>
      </c>
      <c r="E55" s="0" t="s">
        <v>5077</v>
      </c>
      <c r="F55" s="0" t="s">
        <v>4968</v>
      </c>
      <c r="G55" s="0" t="s">
        <v>1739</v>
      </c>
    </row>
    <row customHeight="1" ht="11.25">
      <c r="A56" s="1854" t="s">
        <v>16</v>
      </c>
      <c r="B56" s="0" t="s">
        <v>5078</v>
      </c>
      <c r="C56" s="0" t="s">
        <v>5079</v>
      </c>
      <c r="D56" s="0" t="s">
        <v>5078</v>
      </c>
      <c r="E56" s="0" t="s">
        <v>5079</v>
      </c>
      <c r="F56" s="0" t="s">
        <v>4971</v>
      </c>
      <c r="G56" s="0" t="s">
        <v>1742</v>
      </c>
    </row>
    <row customHeight="1" ht="11.25">
      <c r="A57" s="1854" t="s">
        <v>16</v>
      </c>
      <c r="B57" s="0" t="s">
        <v>5080</v>
      </c>
      <c r="C57" s="0" t="s">
        <v>5081</v>
      </c>
      <c r="D57" s="0" t="s">
        <v>5080</v>
      </c>
      <c r="E57" s="0" t="s">
        <v>5081</v>
      </c>
      <c r="F57" s="0" t="s">
        <v>4968</v>
      </c>
      <c r="G57" s="0" t="s">
        <v>1746</v>
      </c>
    </row>
    <row customHeight="1" ht="11.25">
      <c r="A58" s="1854" t="s">
        <v>16</v>
      </c>
      <c r="B58" s="0" t="s">
        <v>5082</v>
      </c>
      <c r="C58" s="0" t="s">
        <v>5083</v>
      </c>
      <c r="D58" s="0" t="s">
        <v>5082</v>
      </c>
      <c r="E58" s="0" t="s">
        <v>5083</v>
      </c>
      <c r="F58" s="0" t="s">
        <v>4971</v>
      </c>
      <c r="G58" s="0" t="s">
        <v>1749</v>
      </c>
    </row>
    <row customHeight="1" ht="11.25">
      <c r="A59" s="1854" t="s">
        <v>16</v>
      </c>
      <c r="B59" s="0" t="s">
        <v>5084</v>
      </c>
      <c r="C59" s="0" t="s">
        <v>5085</v>
      </c>
      <c r="D59" s="0" t="s">
        <v>5086</v>
      </c>
      <c r="E59" s="0" t="s">
        <v>5087</v>
      </c>
      <c r="F59" s="0" t="s">
        <v>5088</v>
      </c>
      <c r="G59" s="0" t="s">
        <v>1753</v>
      </c>
    </row>
    <row customHeight="1" ht="11.25">
      <c r="A60" s="1854" t="s">
        <v>16</v>
      </c>
      <c r="B60" s="0" t="s">
        <v>5084</v>
      </c>
      <c r="C60" s="0" t="s">
        <v>5085</v>
      </c>
      <c r="D60" s="0" t="s">
        <v>5089</v>
      </c>
      <c r="E60" s="0" t="s">
        <v>5090</v>
      </c>
      <c r="F60" s="0" t="s">
        <v>4992</v>
      </c>
      <c r="G60" s="0" t="s">
        <v>1756</v>
      </c>
    </row>
    <row customHeight="1" ht="11.25">
      <c r="A61" s="1854" t="s">
        <v>16</v>
      </c>
      <c r="B61" s="0" t="s">
        <v>5084</v>
      </c>
      <c r="C61" s="0" t="s">
        <v>5085</v>
      </c>
      <c r="D61" s="0" t="s">
        <v>5091</v>
      </c>
      <c r="E61" s="0" t="s">
        <v>5092</v>
      </c>
      <c r="F61" s="0" t="s">
        <v>5093</v>
      </c>
      <c r="G61" s="0" t="s">
        <v>5094</v>
      </c>
    </row>
    <row customHeight="1" ht="11.25">
      <c r="A62" s="1854" t="s">
        <v>16</v>
      </c>
      <c r="B62" s="0" t="s">
        <v>5084</v>
      </c>
      <c r="C62" s="0" t="s">
        <v>5085</v>
      </c>
      <c r="D62" s="0" t="s">
        <v>5084</v>
      </c>
      <c r="E62" s="0" t="s">
        <v>5085</v>
      </c>
      <c r="F62" s="0" t="s">
        <v>4993</v>
      </c>
      <c r="G62" s="0" t="s">
        <v>5095</v>
      </c>
    </row>
    <row customHeight="1" ht="11.25">
      <c r="A63" s="1854" t="s">
        <v>16</v>
      </c>
      <c r="B63" s="0" t="s">
        <v>5084</v>
      </c>
      <c r="C63" s="0" t="s">
        <v>5085</v>
      </c>
      <c r="D63" s="0" t="s">
        <v>5096</v>
      </c>
      <c r="E63" s="0" t="s">
        <v>5097</v>
      </c>
      <c r="F63" s="0" t="s">
        <v>5093</v>
      </c>
      <c r="G63" s="0" t="s">
        <v>5098</v>
      </c>
    </row>
    <row customHeight="1" ht="11.25">
      <c r="A64" s="1854" t="s">
        <v>16</v>
      </c>
      <c r="B64" s="0" t="s">
        <v>5084</v>
      </c>
      <c r="C64" s="0" t="s">
        <v>5085</v>
      </c>
      <c r="D64" s="0" t="s">
        <v>5099</v>
      </c>
      <c r="E64" s="0" t="s">
        <v>5100</v>
      </c>
      <c r="F64" s="0" t="s">
        <v>5088</v>
      </c>
      <c r="G64" s="0" t="s">
        <v>5101</v>
      </c>
    </row>
    <row customHeight="1" ht="11.25">
      <c r="A65" s="1854" t="s">
        <v>16</v>
      </c>
      <c r="B65" s="0" t="s">
        <v>5084</v>
      </c>
      <c r="C65" s="0" t="s">
        <v>5085</v>
      </c>
      <c r="D65" s="0" t="s">
        <v>5102</v>
      </c>
      <c r="E65" s="0" t="s">
        <v>5103</v>
      </c>
      <c r="F65" s="0" t="s">
        <v>5088</v>
      </c>
      <c r="G65" s="0" t="s">
        <v>5104</v>
      </c>
    </row>
    <row customHeight="1" ht="11.25">
      <c r="A66" s="1854" t="s">
        <v>16</v>
      </c>
      <c r="B66" s="0" t="s">
        <v>5105</v>
      </c>
      <c r="C66" s="0" t="s">
        <v>5106</v>
      </c>
      <c r="D66" s="0" t="s">
        <v>5105</v>
      </c>
      <c r="E66" s="0" t="s">
        <v>5106</v>
      </c>
      <c r="F66" s="0" t="s">
        <v>4968</v>
      </c>
      <c r="G66" s="0" t="s">
        <v>5107</v>
      </c>
    </row>
    <row customHeight="1" ht="11.25">
      <c r="A67" s="1854" t="s">
        <v>16</v>
      </c>
      <c r="B67" s="0" t="s">
        <v>5108</v>
      </c>
      <c r="C67" s="0" t="s">
        <v>5109</v>
      </c>
      <c r="D67" s="0" t="s">
        <v>5108</v>
      </c>
      <c r="E67" s="0" t="s">
        <v>5109</v>
      </c>
      <c r="F67" s="0" t="s">
        <v>4971</v>
      </c>
      <c r="G67" s="0" t="s">
        <v>2068</v>
      </c>
    </row>
    <row customHeight="1" ht="11.25">
      <c r="A68" s="1854" t="s">
        <v>16</v>
      </c>
      <c r="B68" s="0" t="s">
        <v>5110</v>
      </c>
      <c r="C68" s="0" t="s">
        <v>5111</v>
      </c>
      <c r="D68" s="0" t="s">
        <v>5110</v>
      </c>
      <c r="E68" s="0" t="s">
        <v>5111</v>
      </c>
      <c r="F68" s="0" t="s">
        <v>4968</v>
      </c>
      <c r="G68" s="0" t="s">
        <v>5112</v>
      </c>
    </row>
    <row customHeight="1" ht="11.25">
      <c r="A69" s="1854" t="s">
        <v>16</v>
      </c>
      <c r="B69" s="0" t="s">
        <v>5113</v>
      </c>
      <c r="C69" s="0" t="s">
        <v>5114</v>
      </c>
      <c r="D69" s="0" t="s">
        <v>5113</v>
      </c>
      <c r="E69" s="0" t="s">
        <v>5114</v>
      </c>
      <c r="F69" s="0" t="s">
        <v>4968</v>
      </c>
      <c r="G69" s="0" t="s">
        <v>2268</v>
      </c>
    </row>
    <row customHeight="1" ht="11.25">
      <c r="A70" s="1854" t="s">
        <v>16</v>
      </c>
      <c r="B70" s="0" t="s">
        <v>5115</v>
      </c>
      <c r="C70" s="0" t="s">
        <v>5116</v>
      </c>
      <c r="D70" s="0" t="s">
        <v>5115</v>
      </c>
      <c r="E70" s="0" t="s">
        <v>5116</v>
      </c>
      <c r="F70" s="0" t="s">
        <v>4971</v>
      </c>
      <c r="G70" s="0" t="s">
        <v>5117</v>
      </c>
    </row>
    <row customHeight="1" ht="11.25">
      <c r="A71" s="1854" t="s">
        <v>16</v>
      </c>
      <c r="B71" s="0" t="s">
        <v>5118</v>
      </c>
      <c r="C71" s="0" t="s">
        <v>5119</v>
      </c>
      <c r="D71" s="0" t="s">
        <v>5118</v>
      </c>
      <c r="E71" s="0" t="s">
        <v>5119</v>
      </c>
      <c r="F71" s="0" t="s">
        <v>4971</v>
      </c>
      <c r="G71" s="0" t="s">
        <v>5120</v>
      </c>
    </row>
    <row customHeight="1" ht="11.25">
      <c r="A72" s="1854" t="s">
        <v>16</v>
      </c>
      <c r="B72" s="0" t="s">
        <v>5121</v>
      </c>
      <c r="C72" s="0" t="s">
        <v>5122</v>
      </c>
      <c r="D72" s="0" t="s">
        <v>5121</v>
      </c>
      <c r="E72" s="0" t="s">
        <v>5122</v>
      </c>
      <c r="F72" s="0" t="s">
        <v>4968</v>
      </c>
      <c r="G72" s="0" t="s">
        <v>5123</v>
      </c>
    </row>
    <row customHeight="1" ht="11.25">
      <c r="A73" s="1854" t="s">
        <v>16</v>
      </c>
      <c r="B73" s="0" t="s">
        <v>5124</v>
      </c>
      <c r="C73" s="0" t="s">
        <v>5125</v>
      </c>
      <c r="D73" s="0" t="s">
        <v>5124</v>
      </c>
      <c r="E73" s="0" t="s">
        <v>5125</v>
      </c>
      <c r="F73" s="0" t="s">
        <v>4968</v>
      </c>
      <c r="G73" s="0" t="s">
        <v>5126</v>
      </c>
    </row>
    <row customHeight="1" ht="11.25">
      <c r="A74" s="1854" t="s">
        <v>16</v>
      </c>
      <c r="B74" s="0" t="s">
        <v>5127</v>
      </c>
      <c r="C74" s="0" t="s">
        <v>5128</v>
      </c>
      <c r="D74" s="0" t="s">
        <v>5127</v>
      </c>
      <c r="E74" s="0" t="s">
        <v>5128</v>
      </c>
      <c r="F74" s="0" t="s">
        <v>4968</v>
      </c>
      <c r="G74" s="0" t="s">
        <v>5129</v>
      </c>
    </row>
    <row customHeight="1" ht="11.25">
      <c r="A75" s="1854" t="s">
        <v>16</v>
      </c>
      <c r="B75" s="0" t="s">
        <v>5130</v>
      </c>
      <c r="C75" s="0" t="s">
        <v>5131</v>
      </c>
      <c r="D75" s="0" t="s">
        <v>5130</v>
      </c>
      <c r="E75" s="0" t="s">
        <v>5131</v>
      </c>
      <c r="F75" s="0" t="s">
        <v>4971</v>
      </c>
      <c r="G75" s="0" t="s">
        <v>5132</v>
      </c>
    </row>
    <row customHeight="1" ht="11.25">
      <c r="A76" s="1854" t="s">
        <v>16</v>
      </c>
      <c r="B76" s="0" t="s">
        <v>5133</v>
      </c>
      <c r="C76" s="0" t="s">
        <v>5134</v>
      </c>
      <c r="D76" s="0" t="s">
        <v>5133</v>
      </c>
      <c r="E76" s="0" t="s">
        <v>5134</v>
      </c>
      <c r="F76" s="0" t="s">
        <v>4968</v>
      </c>
      <c r="G76" s="0" t="s">
        <v>5135</v>
      </c>
    </row>
    <row customHeight="1" ht="11.25">
      <c r="A77" s="1854" t="s">
        <v>16</v>
      </c>
      <c r="B77" s="0" t="s">
        <v>5136</v>
      </c>
      <c r="C77" s="0" t="s">
        <v>5137</v>
      </c>
      <c r="D77" s="0" t="s">
        <v>5136</v>
      </c>
      <c r="E77" s="0" t="s">
        <v>5137</v>
      </c>
      <c r="F77" s="0" t="s">
        <v>4971</v>
      </c>
      <c r="G77" s="0" t="s">
        <v>5138</v>
      </c>
    </row>
    <row customHeight="1" ht="11.25">
      <c r="A78" s="1854" t="s">
        <v>16</v>
      </c>
      <c r="B78" s="0" t="s">
        <v>5139</v>
      </c>
      <c r="C78" s="0" t="s">
        <v>5140</v>
      </c>
      <c r="D78" s="0" t="s">
        <v>5139</v>
      </c>
      <c r="E78" s="0" t="s">
        <v>5140</v>
      </c>
      <c r="F78" s="0" t="s">
        <v>4968</v>
      </c>
      <c r="G78" s="0" t="s">
        <v>5141</v>
      </c>
    </row>
    <row customHeight="1" ht="11.25">
      <c r="A79" s="1854" t="s">
        <v>16</v>
      </c>
      <c r="B79" s="0" t="s">
        <v>5142</v>
      </c>
      <c r="C79" s="0" t="s">
        <v>5143</v>
      </c>
      <c r="D79" s="0" t="s">
        <v>5142</v>
      </c>
      <c r="E79" s="0" t="s">
        <v>5143</v>
      </c>
      <c r="F79" s="0" t="s">
        <v>4968</v>
      </c>
      <c r="G79" s="0" t="s">
        <v>5144</v>
      </c>
    </row>
    <row customHeight="1" ht="11.25">
      <c r="A80" s="1854" t="s">
        <v>16</v>
      </c>
      <c r="B80" s="0" t="s">
        <v>5145</v>
      </c>
      <c r="C80" s="0" t="s">
        <v>5146</v>
      </c>
      <c r="D80" s="0" t="s">
        <v>5145</v>
      </c>
      <c r="E80" s="0" t="s">
        <v>5146</v>
      </c>
      <c r="F80" s="0" t="s">
        <v>4971</v>
      </c>
      <c r="G80" s="0" t="s">
        <v>5147</v>
      </c>
    </row>
    <row customHeight="1" ht="11.25">
      <c r="A81" s="1854" t="s">
        <v>16</v>
      </c>
      <c r="B81" s="0" t="s">
        <v>5148</v>
      </c>
      <c r="C81" s="0" t="s">
        <v>5149</v>
      </c>
      <c r="D81" s="0" t="s">
        <v>5148</v>
      </c>
      <c r="E81" s="0" t="s">
        <v>5149</v>
      </c>
      <c r="F81" s="0" t="s">
        <v>4968</v>
      </c>
      <c r="G81" s="0" t="s">
        <v>5150</v>
      </c>
    </row>
    <row customHeight="1" ht="11.25">
      <c r="A82" s="1854" t="s">
        <v>16</v>
      </c>
      <c r="B82" s="0" t="s">
        <v>5151</v>
      </c>
      <c r="C82" s="0" t="s">
        <v>5152</v>
      </c>
      <c r="D82" s="0" t="s">
        <v>5151</v>
      </c>
      <c r="E82" s="0" t="s">
        <v>5152</v>
      </c>
      <c r="F82" s="0" t="s">
        <v>4971</v>
      </c>
      <c r="G82" s="0" t="s">
        <v>5153</v>
      </c>
    </row>
    <row customHeight="1" ht="11.25">
      <c r="A83" s="1854" t="s">
        <v>16</v>
      </c>
      <c r="B83" s="0" t="s">
        <v>100</v>
      </c>
      <c r="C83" s="0" t="s">
        <v>101</v>
      </c>
      <c r="D83" s="0" t="s">
        <v>100</v>
      </c>
      <c r="E83" s="0" t="s">
        <v>101</v>
      </c>
      <c r="F83" s="0" t="s">
        <v>4968</v>
      </c>
      <c r="G83" s="0" t="s">
        <v>99</v>
      </c>
    </row>
    <row customHeight="1" ht="11.25">
      <c r="A84" s="1854" t="s">
        <v>16</v>
      </c>
      <c r="B84" s="0" t="s">
        <v>1016</v>
      </c>
      <c r="C84" s="0" t="s">
        <v>5154</v>
      </c>
      <c r="D84" s="0" t="s">
        <v>1016</v>
      </c>
      <c r="E84" s="0" t="s">
        <v>5154</v>
      </c>
      <c r="F84" s="0" t="s">
        <v>4971</v>
      </c>
      <c r="G84" s="0" t="s">
        <v>5155</v>
      </c>
    </row>
    <row customHeight="1" ht="11.25">
      <c r="A85" s="1854" t="s">
        <v>16</v>
      </c>
      <c r="B85" s="0" t="s">
        <v>5156</v>
      </c>
      <c r="C85" s="0" t="s">
        <v>5157</v>
      </c>
      <c r="D85" s="0" t="s">
        <v>5158</v>
      </c>
      <c r="E85" s="0" t="s">
        <v>5159</v>
      </c>
      <c r="F85" s="0" t="s">
        <v>4992</v>
      </c>
      <c r="G85" s="0" t="s">
        <v>5160</v>
      </c>
    </row>
    <row customHeight="1" ht="11.25">
      <c r="A86" s="1854" t="s">
        <v>16</v>
      </c>
      <c r="B86" s="0" t="s">
        <v>5156</v>
      </c>
      <c r="C86" s="0" t="s">
        <v>5157</v>
      </c>
      <c r="D86" s="0" t="s">
        <v>5161</v>
      </c>
      <c r="E86" s="0" t="s">
        <v>5162</v>
      </c>
      <c r="F86" s="0" t="s">
        <v>4992</v>
      </c>
      <c r="G86" s="0" t="s">
        <v>5163</v>
      </c>
    </row>
    <row customHeight="1" ht="11.25">
      <c r="A87" s="1854" t="s">
        <v>16</v>
      </c>
      <c r="B87" s="0" t="s">
        <v>5156</v>
      </c>
      <c r="C87" s="0" t="s">
        <v>5157</v>
      </c>
      <c r="D87" s="0" t="s">
        <v>5156</v>
      </c>
      <c r="E87" s="0" t="s">
        <v>5157</v>
      </c>
      <c r="F87" s="0" t="s">
        <v>4993</v>
      </c>
      <c r="G87" s="0" t="s">
        <v>5164</v>
      </c>
    </row>
    <row customHeight="1" ht="11.25">
      <c r="A88" s="1854" t="s">
        <v>16</v>
      </c>
      <c r="B88" s="0" t="s">
        <v>5156</v>
      </c>
      <c r="C88" s="0" t="s">
        <v>5157</v>
      </c>
      <c r="D88" s="0" t="s">
        <v>5165</v>
      </c>
      <c r="E88" s="0" t="s">
        <v>5166</v>
      </c>
      <c r="F88" s="0" t="s">
        <v>4992</v>
      </c>
      <c r="G88" s="0" t="s">
        <v>5167</v>
      </c>
    </row>
    <row customHeight="1" ht="11.25">
      <c r="A89" s="1854" t="s">
        <v>16</v>
      </c>
      <c r="B89" s="0" t="s">
        <v>5156</v>
      </c>
      <c r="C89" s="0" t="s">
        <v>5157</v>
      </c>
      <c r="D89" s="0" t="s">
        <v>5168</v>
      </c>
      <c r="E89" s="0" t="s">
        <v>5169</v>
      </c>
      <c r="F89" s="0" t="s">
        <v>4992</v>
      </c>
      <c r="G89" s="0" t="s">
        <v>5170</v>
      </c>
    </row>
    <row customHeight="1" ht="11.25">
      <c r="A90" s="1854" t="s">
        <v>16</v>
      </c>
      <c r="B90" s="0" t="s">
        <v>5171</v>
      </c>
      <c r="C90" s="0" t="s">
        <v>5172</v>
      </c>
      <c r="D90" s="0" t="s">
        <v>5171</v>
      </c>
      <c r="E90" s="0" t="s">
        <v>5172</v>
      </c>
      <c r="F90" s="0" t="s">
        <v>4968</v>
      </c>
      <c r="G90" s="0" t="s">
        <v>5173</v>
      </c>
    </row>
    <row customHeight="1" ht="11.25">
      <c r="A91" s="1854" t="s">
        <v>16</v>
      </c>
      <c r="B91" s="0" t="s">
        <v>5174</v>
      </c>
      <c r="C91" s="0" t="s">
        <v>5175</v>
      </c>
      <c r="D91" s="0" t="s">
        <v>5174</v>
      </c>
      <c r="E91" s="0" t="s">
        <v>5175</v>
      </c>
      <c r="F91" s="0" t="s">
        <v>4971</v>
      </c>
      <c r="G91" s="0" t="s">
        <v>5176</v>
      </c>
    </row>
    <row customHeight="1" ht="11.25">
      <c r="A92" s="1854" t="s">
        <v>16</v>
      </c>
      <c r="B92" s="0" t="s">
        <v>5177</v>
      </c>
      <c r="C92" s="0" t="s">
        <v>5178</v>
      </c>
      <c r="D92" s="0" t="s">
        <v>5177</v>
      </c>
      <c r="E92" s="0" t="s">
        <v>5178</v>
      </c>
      <c r="F92" s="0" t="s">
        <v>4968</v>
      </c>
      <c r="G92" s="0" t="s">
        <v>5179</v>
      </c>
    </row>
    <row customHeight="1" ht="11.25">
      <c r="A93" s="1854" t="s">
        <v>16</v>
      </c>
      <c r="B93" s="0" t="s">
        <v>5180</v>
      </c>
      <c r="C93" s="0" t="s">
        <v>5181</v>
      </c>
      <c r="D93" s="0" t="s">
        <v>5180</v>
      </c>
      <c r="E93" s="0" t="s">
        <v>5181</v>
      </c>
      <c r="F93" s="0" t="s">
        <v>4968</v>
      </c>
      <c r="G93" s="0" t="s">
        <v>5182</v>
      </c>
    </row>
    <row customHeight="1" ht="11.25">
      <c r="A94" s="1854" t="s">
        <v>16</v>
      </c>
      <c r="B94" s="0" t="s">
        <v>5183</v>
      </c>
      <c r="C94" s="0" t="s">
        <v>5184</v>
      </c>
      <c r="D94" s="0" t="s">
        <v>5183</v>
      </c>
      <c r="E94" s="0" t="s">
        <v>5184</v>
      </c>
      <c r="F94" s="0" t="s">
        <v>4968</v>
      </c>
      <c r="G94" s="0" t="s">
        <v>5185</v>
      </c>
    </row>
    <row customHeight="1" ht="11.25">
      <c r="A95" s="1854" t="s">
        <v>16</v>
      </c>
      <c r="B95" s="0" t="s">
        <v>5186</v>
      </c>
      <c r="C95" s="0" t="s">
        <v>5187</v>
      </c>
      <c r="D95" s="0" t="s">
        <v>5186</v>
      </c>
      <c r="E95" s="0" t="s">
        <v>5187</v>
      </c>
      <c r="F95" s="0" t="s">
        <v>4968</v>
      </c>
      <c r="G95" s="0" t="s">
        <v>5188</v>
      </c>
    </row>
    <row customHeight="1" ht="11.25">
      <c r="A96" s="1854" t="s">
        <v>16</v>
      </c>
      <c r="B96" s="0" t="s">
        <v>5189</v>
      </c>
      <c r="C96" s="0" t="s">
        <v>5190</v>
      </c>
      <c r="D96" s="0" t="s">
        <v>5189</v>
      </c>
      <c r="E96" s="0" t="s">
        <v>5190</v>
      </c>
      <c r="F96" s="0" t="s">
        <v>4971</v>
      </c>
      <c r="G96" s="0" t="s">
        <v>5191</v>
      </c>
    </row>
    <row customHeight="1" ht="11.25">
      <c r="A97" s="1854" t="s">
        <v>16</v>
      </c>
      <c r="B97" s="0" t="s">
        <v>5192</v>
      </c>
      <c r="C97" s="0" t="s">
        <v>5193</v>
      </c>
      <c r="D97" s="0" t="s">
        <v>5194</v>
      </c>
      <c r="E97" s="0" t="s">
        <v>5195</v>
      </c>
      <c r="F97" s="0" t="s">
        <v>4992</v>
      </c>
      <c r="G97" s="0" t="s">
        <v>5196</v>
      </c>
    </row>
    <row customHeight="1" ht="11.25">
      <c r="A98" s="1854" t="s">
        <v>16</v>
      </c>
      <c r="B98" s="0" t="s">
        <v>5192</v>
      </c>
      <c r="C98" s="0" t="s">
        <v>5193</v>
      </c>
      <c r="D98" s="0" t="s">
        <v>5197</v>
      </c>
      <c r="E98" s="0" t="s">
        <v>5198</v>
      </c>
      <c r="F98" s="0" t="s">
        <v>5199</v>
      </c>
      <c r="G98" s="0" t="s">
        <v>5200</v>
      </c>
    </row>
    <row customHeight="1" ht="11.25">
      <c r="A99" s="1854" t="s">
        <v>16</v>
      </c>
      <c r="B99" s="0" t="s">
        <v>5192</v>
      </c>
      <c r="C99" s="0" t="s">
        <v>5193</v>
      </c>
      <c r="D99" s="0" t="s">
        <v>5192</v>
      </c>
      <c r="E99" s="0" t="s">
        <v>5193</v>
      </c>
      <c r="F99" s="0" t="s">
        <v>4993</v>
      </c>
      <c r="G99" s="0" t="s">
        <v>5201</v>
      </c>
    </row>
    <row customHeight="1" ht="11.25">
      <c r="A100" s="1854" t="s">
        <v>16</v>
      </c>
      <c r="B100" s="0" t="s">
        <v>5192</v>
      </c>
      <c r="C100" s="0" t="s">
        <v>5193</v>
      </c>
      <c r="D100" s="0" t="s">
        <v>5202</v>
      </c>
      <c r="E100" s="0" t="s">
        <v>5203</v>
      </c>
      <c r="F100" s="0" t="s">
        <v>4992</v>
      </c>
      <c r="G100" s="0" t="s">
        <v>5204</v>
      </c>
    </row>
    <row customHeight="1" ht="11.25">
      <c r="A101" s="1854" t="s">
        <v>16</v>
      </c>
      <c r="B101" s="0" t="s">
        <v>5192</v>
      </c>
      <c r="C101" s="0" t="s">
        <v>5193</v>
      </c>
      <c r="D101" s="0" t="s">
        <v>5205</v>
      </c>
      <c r="E101" s="0" t="s">
        <v>5206</v>
      </c>
      <c r="F101" s="0" t="s">
        <v>4992</v>
      </c>
      <c r="G101" s="0" t="s">
        <v>5207</v>
      </c>
    </row>
    <row customHeight="1" ht="11.25">
      <c r="A102" s="1854" t="s">
        <v>16</v>
      </c>
      <c r="B102" s="0" t="s">
        <v>5208</v>
      </c>
      <c r="C102" s="0" t="s">
        <v>5209</v>
      </c>
      <c r="D102" s="0" t="s">
        <v>5208</v>
      </c>
      <c r="E102" s="0" t="s">
        <v>5209</v>
      </c>
      <c r="F102" s="0" t="s">
        <v>4968</v>
      </c>
      <c r="G102" s="0" t="s">
        <v>5210</v>
      </c>
    </row>
    <row customHeight="1" ht="11.25">
      <c r="A103" s="1854" t="s">
        <v>16</v>
      </c>
      <c r="B103" s="0" t="s">
        <v>5211</v>
      </c>
      <c r="C103" s="0" t="s">
        <v>5212</v>
      </c>
      <c r="D103" s="0" t="s">
        <v>5211</v>
      </c>
      <c r="E103" s="0" t="s">
        <v>5212</v>
      </c>
      <c r="F103" s="0" t="s">
        <v>4971</v>
      </c>
      <c r="G103" s="0" t="s">
        <v>5213</v>
      </c>
    </row>
    <row customHeight="1" ht="11.25">
      <c r="A104" s="1854" t="s">
        <v>16</v>
      </c>
      <c r="B104" s="0" t="s">
        <v>5214</v>
      </c>
      <c r="C104" s="0" t="s">
        <v>5215</v>
      </c>
      <c r="D104" s="0" t="s">
        <v>5214</v>
      </c>
      <c r="E104" s="0" t="s">
        <v>5215</v>
      </c>
      <c r="F104" s="0" t="s">
        <v>4968</v>
      </c>
      <c r="G104" s="0" t="s">
        <v>5216</v>
      </c>
    </row>
    <row customHeight="1" ht="11.25">
      <c r="A105" s="1854" t="s">
        <v>16</v>
      </c>
      <c r="B105" s="0" t="s">
        <v>5217</v>
      </c>
      <c r="C105" s="0" t="s">
        <v>5218</v>
      </c>
      <c r="D105" s="0" t="s">
        <v>5217</v>
      </c>
      <c r="E105" s="0" t="s">
        <v>5218</v>
      </c>
      <c r="F105" s="0" t="s">
        <v>4971</v>
      </c>
      <c r="G105" s="0" t="s">
        <v>5219</v>
      </c>
    </row>
    <row customHeight="1" ht="11.25">
      <c r="A106" s="1854" t="s">
        <v>16</v>
      </c>
      <c r="B106" s="0" t="s">
        <v>5220</v>
      </c>
      <c r="C106" s="0" t="s">
        <v>5221</v>
      </c>
      <c r="D106" s="0" t="s">
        <v>5220</v>
      </c>
      <c r="E106" s="0" t="s">
        <v>5221</v>
      </c>
      <c r="F106" s="0" t="s">
        <v>4968</v>
      </c>
      <c r="G106" s="0" t="s">
        <v>5222</v>
      </c>
    </row>
    <row customHeight="1" ht="11.25">
      <c r="A107" s="1854" t="s">
        <v>16</v>
      </c>
      <c r="B107" s="0" t="s">
        <v>5223</v>
      </c>
      <c r="C107" s="0" t="s">
        <v>5224</v>
      </c>
      <c r="D107" s="0" t="s">
        <v>5223</v>
      </c>
      <c r="E107" s="0" t="s">
        <v>5224</v>
      </c>
      <c r="F107" s="0" t="s">
        <v>4971</v>
      </c>
      <c r="G107" s="0" t="s">
        <v>5225</v>
      </c>
    </row>
    <row customHeight="1" ht="11.25">
      <c r="A108" s="1854" t="s">
        <v>16</v>
      </c>
      <c r="B108" s="0" t="s">
        <v>5226</v>
      </c>
      <c r="C108" s="0" t="s">
        <v>5227</v>
      </c>
      <c r="D108" s="0" t="s">
        <v>5226</v>
      </c>
      <c r="E108" s="0" t="s">
        <v>5227</v>
      </c>
      <c r="F108" s="0" t="s">
        <v>4968</v>
      </c>
      <c r="G108" s="0" t="s">
        <v>5228</v>
      </c>
    </row>
    <row customHeight="1" ht="11.25">
      <c r="A109" s="1854" t="s">
        <v>16</v>
      </c>
      <c r="B109" s="0" t="s">
        <v>5229</v>
      </c>
      <c r="C109" s="0" t="s">
        <v>5230</v>
      </c>
      <c r="D109" s="0" t="s">
        <v>5229</v>
      </c>
      <c r="E109" s="0" t="s">
        <v>5230</v>
      </c>
      <c r="F109" s="0" t="s">
        <v>4971</v>
      </c>
      <c r="G109" s="0" t="s">
        <v>5231</v>
      </c>
    </row>
    <row customHeight="1" ht="11.25">
      <c r="A110" s="1854" t="s">
        <v>16</v>
      </c>
      <c r="B110" s="0" t="s">
        <v>5232</v>
      </c>
      <c r="C110" s="0" t="s">
        <v>5233</v>
      </c>
      <c r="D110" s="0" t="s">
        <v>5232</v>
      </c>
      <c r="E110" s="0" t="s">
        <v>5233</v>
      </c>
      <c r="F110" s="0" t="s">
        <v>4968</v>
      </c>
      <c r="G110" s="0" t="s">
        <v>5234</v>
      </c>
    </row>
    <row customHeight="1" ht="11.25">
      <c r="A111" s="1854" t="s">
        <v>16</v>
      </c>
      <c r="B111" s="0" t="s">
        <v>5235</v>
      </c>
      <c r="C111" s="0" t="s">
        <v>5236</v>
      </c>
      <c r="D111" s="0" t="s">
        <v>5235</v>
      </c>
      <c r="E111" s="0" t="s">
        <v>5236</v>
      </c>
      <c r="F111" s="0" t="s">
        <v>4971</v>
      </c>
      <c r="G111" s="0" t="s">
        <v>5237</v>
      </c>
    </row>
    <row customHeight="1" ht="11.25">
      <c r="A112" s="1854" t="s">
        <v>16</v>
      </c>
      <c r="B112" s="0" t="s">
        <v>5238</v>
      </c>
      <c r="C112" s="0" t="s">
        <v>5239</v>
      </c>
      <c r="D112" s="0" t="s">
        <v>5238</v>
      </c>
      <c r="E112" s="0" t="s">
        <v>5239</v>
      </c>
      <c r="F112" s="0" t="s">
        <v>4968</v>
      </c>
      <c r="G112" s="0" t="s">
        <v>5240</v>
      </c>
    </row>
    <row customHeight="1" ht="11.25">
      <c r="A113" s="1854" t="s">
        <v>16</v>
      </c>
      <c r="B113" s="0" t="s">
        <v>5241</v>
      </c>
      <c r="C113" s="0" t="s">
        <v>5242</v>
      </c>
      <c r="D113" s="0" t="s">
        <v>5241</v>
      </c>
      <c r="E113" s="0" t="s">
        <v>5242</v>
      </c>
      <c r="F113" s="0" t="s">
        <v>4971</v>
      </c>
      <c r="G113" s="0" t="s">
        <v>5243</v>
      </c>
    </row>
    <row customHeight="1" ht="11.25">
      <c r="A114" s="1854" t="s">
        <v>16</v>
      </c>
      <c r="B114" s="0" t="s">
        <v>5244</v>
      </c>
      <c r="C114" s="0" t="s">
        <v>5245</v>
      </c>
      <c r="D114" s="0" t="s">
        <v>5244</v>
      </c>
      <c r="E114" s="0" t="s">
        <v>5245</v>
      </c>
      <c r="F114" s="0" t="s">
        <v>4968</v>
      </c>
      <c r="G114" s="0" t="s">
        <v>5246</v>
      </c>
    </row>
    <row customHeight="1" ht="11.25">
      <c r="A115" s="1854" t="s">
        <v>16</v>
      </c>
      <c r="B115" s="0" t="s">
        <v>5244</v>
      </c>
      <c r="C115" s="0" t="s">
        <v>5247</v>
      </c>
      <c r="D115" s="0" t="s">
        <v>5244</v>
      </c>
      <c r="E115" s="0" t="s">
        <v>5247</v>
      </c>
      <c r="F115" s="0" t="s">
        <v>4971</v>
      </c>
      <c r="G115" s="0" t="s">
        <v>5248</v>
      </c>
    </row>
    <row customHeight="1" ht="11.25">
      <c r="A116" s="1854" t="s">
        <v>16</v>
      </c>
      <c r="B116" s="0" t="s">
        <v>5249</v>
      </c>
      <c r="C116" s="0" t="s">
        <v>5250</v>
      </c>
      <c r="D116" s="0" t="s">
        <v>5249</v>
      </c>
      <c r="E116" s="0" t="s">
        <v>5250</v>
      </c>
      <c r="F116" s="0" t="s">
        <v>4971</v>
      </c>
      <c r="G116" s="0" t="s">
        <v>5251</v>
      </c>
    </row>
    <row customHeight="1" ht="11.25">
      <c r="A117" s="1854" t="s">
        <v>16</v>
      </c>
      <c r="B117" s="0" t="s">
        <v>5252</v>
      </c>
      <c r="C117" s="0" t="s">
        <v>5253</v>
      </c>
      <c r="D117" s="0" t="s">
        <v>5252</v>
      </c>
      <c r="E117" s="0" t="s">
        <v>5253</v>
      </c>
      <c r="F117" s="0" t="s">
        <v>4971</v>
      </c>
      <c r="G117" s="0" t="s">
        <v>5254</v>
      </c>
    </row>
    <row customHeight="1" ht="11.25">
      <c r="A118" s="1854" t="s">
        <v>16</v>
      </c>
      <c r="B118" s="0" t="s">
        <v>5255</v>
      </c>
      <c r="C118" s="0" t="s">
        <v>5256</v>
      </c>
      <c r="D118" s="0" t="s">
        <v>5255</v>
      </c>
      <c r="E118" s="0" t="s">
        <v>5256</v>
      </c>
      <c r="F118" s="0" t="s">
        <v>4971</v>
      </c>
      <c r="G118" s="0" t="s">
        <v>5257</v>
      </c>
    </row>
    <row customHeight="1" ht="11.25">
      <c r="A119" s="1854" t="s">
        <v>16</v>
      </c>
      <c r="B119" s="0" t="s">
        <v>5258</v>
      </c>
      <c r="C119" s="0" t="s">
        <v>5259</v>
      </c>
      <c r="D119" s="0" t="s">
        <v>5258</v>
      </c>
      <c r="E119" s="0" t="s">
        <v>5259</v>
      </c>
      <c r="F119" s="0" t="s">
        <v>4971</v>
      </c>
      <c r="G119" s="0" t="s">
        <v>5260</v>
      </c>
    </row>
    <row customHeight="1" ht="11.25">
      <c r="A120" s="1854" t="s">
        <v>16</v>
      </c>
      <c r="B120" s="0" t="s">
        <v>5261</v>
      </c>
      <c r="C120" s="0" t="s">
        <v>5262</v>
      </c>
      <c r="D120" s="0" t="s">
        <v>5261</v>
      </c>
      <c r="E120" s="0" t="s">
        <v>5262</v>
      </c>
      <c r="F120" s="0" t="s">
        <v>4971</v>
      </c>
      <c r="G120" s="0" t="s">
        <v>5263</v>
      </c>
    </row>
    <row customHeight="1" ht="11.25">
      <c r="A121" s="1854" t="s">
        <v>16</v>
      </c>
      <c r="B121" s="0" t="s">
        <v>5264</v>
      </c>
      <c r="C121" s="0" t="s">
        <v>5265</v>
      </c>
      <c r="D121" s="0" t="s">
        <v>5264</v>
      </c>
      <c r="E121" s="0" t="s">
        <v>5265</v>
      </c>
      <c r="F121" s="0" t="s">
        <v>4971</v>
      </c>
      <c r="G121" s="0" t="s">
        <v>5266</v>
      </c>
    </row>
    <row customHeight="1" ht="11.25">
      <c r="A122" s="1854" t="s">
        <v>16</v>
      </c>
      <c r="B122" s="0" t="s">
        <v>5267</v>
      </c>
      <c r="C122" s="0" t="s">
        <v>5268</v>
      </c>
      <c r="D122" s="0" t="s">
        <v>5267</v>
      </c>
      <c r="E122" s="0" t="s">
        <v>5268</v>
      </c>
      <c r="F122" s="0" t="s">
        <v>4971</v>
      </c>
      <c r="G122" s="0" t="s">
        <v>5269</v>
      </c>
    </row>
    <row customHeight="1" ht="11.25">
      <c r="A123" s="1854" t="s">
        <v>16</v>
      </c>
      <c r="B123" s="0" t="s">
        <v>5270</v>
      </c>
      <c r="C123" s="0" t="s">
        <v>5271</v>
      </c>
      <c r="D123" s="0" t="s">
        <v>5270</v>
      </c>
      <c r="E123" s="0" t="s">
        <v>5271</v>
      </c>
      <c r="F123" s="0" t="s">
        <v>4971</v>
      </c>
      <c r="G123" s="0" t="s">
        <v>5272</v>
      </c>
    </row>
    <row customHeight="1" ht="11.25">
      <c r="A124" s="1854" t="s">
        <v>16</v>
      </c>
      <c r="B124" s="0" t="s">
        <v>5273</v>
      </c>
      <c r="C124" s="0" t="s">
        <v>5274</v>
      </c>
      <c r="D124" s="0" t="s">
        <v>5273</v>
      </c>
      <c r="E124" s="0" t="s">
        <v>5274</v>
      </c>
      <c r="F124" s="0" t="s">
        <v>4971</v>
      </c>
      <c r="G124" s="0" t="s">
        <v>5275</v>
      </c>
    </row>
    <row customHeight="1" ht="11.25">
      <c r="A125" s="1854" t="s">
        <v>16</v>
      </c>
      <c r="B125" s="0" t="s">
        <v>5276</v>
      </c>
      <c r="C125" s="0" t="s">
        <v>5277</v>
      </c>
      <c r="D125" s="0" t="s">
        <v>5276</v>
      </c>
      <c r="E125" s="0" t="s">
        <v>5277</v>
      </c>
      <c r="F125" s="0" t="s">
        <v>4971</v>
      </c>
      <c r="G125" s="0" t="s">
        <v>5278</v>
      </c>
    </row>
    <row customHeight="1" ht="11.25">
      <c r="A126" s="1854" t="s">
        <v>16</v>
      </c>
      <c r="B126" s="0" t="s">
        <v>5279</v>
      </c>
      <c r="C126" s="0" t="s">
        <v>5280</v>
      </c>
      <c r="D126" s="0" t="s">
        <v>5279</v>
      </c>
      <c r="E126" s="0" t="s">
        <v>5280</v>
      </c>
      <c r="F126" s="0" t="s">
        <v>4971</v>
      </c>
      <c r="G126" s="0" t="s">
        <v>5281</v>
      </c>
    </row>
    <row customHeight="1" ht="11.25">
      <c r="A127" s="1854" t="s">
        <v>16</v>
      </c>
      <c r="B127" s="0" t="s">
        <v>5282</v>
      </c>
      <c r="C127" s="0" t="s">
        <v>5283</v>
      </c>
      <c r="D127" s="0" t="s">
        <v>5282</v>
      </c>
      <c r="E127" s="0" t="s">
        <v>5283</v>
      </c>
      <c r="F127" s="0" t="s">
        <v>4971</v>
      </c>
      <c r="G127" s="0" t="s">
        <v>5284</v>
      </c>
    </row>
    <row customHeight="1" ht="11.25">
      <c r="A128" s="1854" t="s">
        <v>16</v>
      </c>
      <c r="B128" s="0" t="s">
        <v>5285</v>
      </c>
      <c r="C128" s="0" t="s">
        <v>5286</v>
      </c>
      <c r="D128" s="0" t="s">
        <v>5285</v>
      </c>
      <c r="E128" s="0" t="s">
        <v>5286</v>
      </c>
      <c r="F128" s="0" t="s">
        <v>4971</v>
      </c>
      <c r="G128" s="0" t="s">
        <v>5287</v>
      </c>
    </row>
    <row customHeight="1" ht="11.25">
      <c r="A129" s="1854" t="s">
        <v>16</v>
      </c>
      <c r="B129" s="0" t="s">
        <v>5288</v>
      </c>
      <c r="C129" s="0" t="s">
        <v>5289</v>
      </c>
      <c r="D129" s="0" t="s">
        <v>5288</v>
      </c>
      <c r="E129" s="0" t="s">
        <v>5289</v>
      </c>
      <c r="F129" s="0" t="s">
        <v>4971</v>
      </c>
      <c r="G129" s="0" t="s">
        <v>5290</v>
      </c>
    </row>
    <row customHeight="1" ht="11.25">
      <c r="A130" s="1854" t="s">
        <v>16</v>
      </c>
      <c r="B130" s="0" t="s">
        <v>5291</v>
      </c>
      <c r="C130" s="0" t="s">
        <v>5292</v>
      </c>
      <c r="D130" s="0" t="s">
        <v>5291</v>
      </c>
      <c r="E130" s="0" t="s">
        <v>5292</v>
      </c>
      <c r="F130" s="0" t="s">
        <v>4971</v>
      </c>
      <c r="G130" s="0" t="s">
        <v>5293</v>
      </c>
    </row>
    <row customHeight="1" ht="11.25">
      <c r="A131" s="1854" t="s">
        <v>16</v>
      </c>
      <c r="B131" s="0" t="s">
        <v>5294</v>
      </c>
      <c r="C131" s="0" t="s">
        <v>5295</v>
      </c>
      <c r="D131" s="0" t="s">
        <v>5294</v>
      </c>
      <c r="E131" s="0" t="s">
        <v>5295</v>
      </c>
      <c r="F131" s="0" t="s">
        <v>4971</v>
      </c>
      <c r="G131" s="0" t="s">
        <v>5296</v>
      </c>
    </row>
    <row customHeight="1" ht="11.25">
      <c r="A132" s="1854" t="s">
        <v>16</v>
      </c>
      <c r="B132" s="0" t="s">
        <v>5297</v>
      </c>
      <c r="C132" s="0" t="s">
        <v>5298</v>
      </c>
      <c r="D132" s="0" t="s">
        <v>5297</v>
      </c>
      <c r="E132" s="0" t="s">
        <v>5298</v>
      </c>
      <c r="F132" s="0" t="s">
        <v>4971</v>
      </c>
      <c r="G132" s="0" t="s">
        <v>5299</v>
      </c>
    </row>
    <row customHeight="1" ht="11.25">
      <c r="A133" s="1854" t="s">
        <v>16</v>
      </c>
      <c r="B133" s="0" t="s">
        <v>5300</v>
      </c>
      <c r="C133" s="0" t="s">
        <v>5301</v>
      </c>
      <c r="D133" s="0" t="s">
        <v>5300</v>
      </c>
      <c r="E133" s="0" t="s">
        <v>5301</v>
      </c>
      <c r="F133" s="0" t="s">
        <v>4971</v>
      </c>
      <c r="G133" s="0" t="s">
        <v>5302</v>
      </c>
    </row>
    <row customHeight="1" ht="11.25">
      <c r="A134" s="1854" t="s">
        <v>16</v>
      </c>
      <c r="B134" s="0" t="s">
        <v>5303</v>
      </c>
      <c r="C134" s="0" t="s">
        <v>5304</v>
      </c>
      <c r="D134" s="0" t="s">
        <v>5303</v>
      </c>
      <c r="E134" s="0" t="s">
        <v>5304</v>
      </c>
      <c r="F134" s="0" t="s">
        <v>4971</v>
      </c>
      <c r="G134" s="0" t="s">
        <v>5305</v>
      </c>
    </row>
    <row customHeight="1" ht="11.25">
      <c r="A135" s="1854" t="s">
        <v>16</v>
      </c>
      <c r="B135" s="0" t="s">
        <v>5306</v>
      </c>
      <c r="C135" s="0" t="s">
        <v>5307</v>
      </c>
      <c r="D135" s="0" t="s">
        <v>5306</v>
      </c>
      <c r="E135" s="0" t="s">
        <v>5307</v>
      </c>
      <c r="F135" s="0" t="s">
        <v>4971</v>
      </c>
      <c r="G135" s="0" t="s">
        <v>5308</v>
      </c>
    </row>
    <row customHeight="1" ht="11.25">
      <c r="A136" s="1854" t="s">
        <v>16</v>
      </c>
      <c r="B136" s="0" t="s">
        <v>5309</v>
      </c>
      <c r="C136" s="0" t="s">
        <v>5310</v>
      </c>
      <c r="D136" s="0" t="s">
        <v>5309</v>
      </c>
      <c r="E136" s="0" t="s">
        <v>5310</v>
      </c>
      <c r="F136" s="0" t="s">
        <v>4971</v>
      </c>
      <c r="G136" s="0" t="s">
        <v>5311</v>
      </c>
    </row>
    <row customHeight="1" ht="11.25">
      <c r="A137" s="1854" t="s">
        <v>16</v>
      </c>
      <c r="B137" s="0" t="s">
        <v>5312</v>
      </c>
      <c r="C137" s="0" t="s">
        <v>5313</v>
      </c>
      <c r="D137" s="0" t="s">
        <v>5312</v>
      </c>
      <c r="E137" s="0" t="s">
        <v>5313</v>
      </c>
      <c r="F137" s="0" t="s">
        <v>4971</v>
      </c>
      <c r="G137" s="0" t="s">
        <v>5314</v>
      </c>
    </row>
    <row customHeight="1" ht="11.25">
      <c r="A138" s="1854" t="s">
        <v>16</v>
      </c>
      <c r="B138" s="0" t="s">
        <v>5315</v>
      </c>
      <c r="C138" s="0" t="s">
        <v>5316</v>
      </c>
      <c r="D138" s="0" t="s">
        <v>5315</v>
      </c>
      <c r="E138" s="0" t="s">
        <v>5316</v>
      </c>
      <c r="F138" s="0" t="s">
        <v>4971</v>
      </c>
      <c r="G138" s="0" t="s">
        <v>5317</v>
      </c>
    </row>
    <row customHeight="1" ht="11.25">
      <c r="A139" s="1854" t="s">
        <v>16</v>
      </c>
      <c r="B139" s="0" t="s">
        <v>5318</v>
      </c>
      <c r="C139" s="0" t="s">
        <v>5319</v>
      </c>
      <c r="D139" s="0" t="s">
        <v>5318</v>
      </c>
      <c r="E139" s="0" t="s">
        <v>5319</v>
      </c>
      <c r="F139" s="0" t="s">
        <v>4971</v>
      </c>
      <c r="G139" s="0" t="s">
        <v>5320</v>
      </c>
    </row>
    <row customHeight="1" ht="11.25">
      <c r="A140" s="1854" t="s">
        <v>16</v>
      </c>
      <c r="B140" s="0" t="s">
        <v>5321</v>
      </c>
      <c r="C140" s="0" t="s">
        <v>5322</v>
      </c>
      <c r="D140" s="0" t="s">
        <v>5323</v>
      </c>
      <c r="E140" s="0" t="s">
        <v>5324</v>
      </c>
      <c r="F140" s="0" t="s">
        <v>4992</v>
      </c>
      <c r="G140" s="0" t="s">
        <v>5325</v>
      </c>
    </row>
    <row customHeight="1" ht="11.25">
      <c r="A141" s="1854" t="s">
        <v>16</v>
      </c>
      <c r="B141" s="0" t="s">
        <v>5321</v>
      </c>
      <c r="C141" s="0" t="s">
        <v>5322</v>
      </c>
      <c r="D141" s="0" t="s">
        <v>5326</v>
      </c>
      <c r="E141" s="0" t="s">
        <v>5327</v>
      </c>
      <c r="F141" s="0" t="s">
        <v>4992</v>
      </c>
      <c r="G141" s="0" t="s">
        <v>5328</v>
      </c>
    </row>
    <row customHeight="1" ht="11.25">
      <c r="A142" s="1854" t="s">
        <v>16</v>
      </c>
      <c r="B142" s="0" t="s">
        <v>5321</v>
      </c>
      <c r="C142" s="0" t="s">
        <v>5322</v>
      </c>
      <c r="D142" s="0" t="s">
        <v>5329</v>
      </c>
      <c r="E142" s="0" t="s">
        <v>5330</v>
      </c>
      <c r="F142" s="0" t="s">
        <v>4992</v>
      </c>
      <c r="G142" s="0" t="s">
        <v>5331</v>
      </c>
    </row>
    <row customHeight="1" ht="11.25">
      <c r="A143" s="1854" t="s">
        <v>16</v>
      </c>
      <c r="B143" s="0" t="s">
        <v>5321</v>
      </c>
      <c r="C143" s="0" t="s">
        <v>5322</v>
      </c>
      <c r="D143" s="0" t="s">
        <v>5332</v>
      </c>
      <c r="E143" s="0" t="s">
        <v>5333</v>
      </c>
      <c r="F143" s="0" t="s">
        <v>4992</v>
      </c>
      <c r="G143" s="0" t="s">
        <v>5334</v>
      </c>
    </row>
    <row customHeight="1" ht="11.25">
      <c r="A144" s="1854" t="s">
        <v>16</v>
      </c>
      <c r="B144" s="0" t="s">
        <v>5321</v>
      </c>
      <c r="C144" s="0" t="s">
        <v>5322</v>
      </c>
      <c r="D144" s="0" t="s">
        <v>5335</v>
      </c>
      <c r="E144" s="0" t="s">
        <v>5336</v>
      </c>
      <c r="F144" s="0" t="s">
        <v>4992</v>
      </c>
      <c r="G144" s="0" t="s">
        <v>5337</v>
      </c>
    </row>
    <row customHeight="1" ht="11.25">
      <c r="A145" s="1854" t="s">
        <v>16</v>
      </c>
      <c r="B145" s="0" t="s">
        <v>5321</v>
      </c>
      <c r="C145" s="0" t="s">
        <v>5322</v>
      </c>
      <c r="D145" s="0" t="s">
        <v>5321</v>
      </c>
      <c r="E145" s="0" t="s">
        <v>5322</v>
      </c>
      <c r="F145" s="0" t="s">
        <v>4993</v>
      </c>
      <c r="G145" s="0" t="s">
        <v>5338</v>
      </c>
    </row>
    <row customHeight="1" ht="11.25">
      <c r="A146" s="1854" t="s">
        <v>16</v>
      </c>
      <c r="B146" s="0" t="s">
        <v>5339</v>
      </c>
      <c r="C146" s="0" t="s">
        <v>5340</v>
      </c>
      <c r="D146" s="0" t="s">
        <v>5339</v>
      </c>
      <c r="E146" s="0" t="s">
        <v>5340</v>
      </c>
      <c r="F146" s="0" t="s">
        <v>4971</v>
      </c>
      <c r="G146" s="0" t="s">
        <v>5341</v>
      </c>
    </row>
    <row customHeight="1" ht="11.25">
      <c r="A147" s="1854" t="s">
        <v>16</v>
      </c>
      <c r="B147" s="0" t="s">
        <v>5342</v>
      </c>
      <c r="C147" s="0" t="s">
        <v>5343</v>
      </c>
      <c r="D147" s="0" t="s">
        <v>5342</v>
      </c>
      <c r="E147" s="0" t="s">
        <v>5343</v>
      </c>
      <c r="F147" s="0" t="s">
        <v>4971</v>
      </c>
      <c r="G147" s="0" t="s">
        <v>5344</v>
      </c>
    </row>
    <row customHeight="1" ht="11.25">
      <c r="A148" s="1854" t="s">
        <v>16</v>
      </c>
      <c r="B148" s="0" t="s">
        <v>5345</v>
      </c>
      <c r="C148" s="0" t="s">
        <v>5346</v>
      </c>
      <c r="D148" s="0" t="s">
        <v>5345</v>
      </c>
      <c r="E148" s="0" t="s">
        <v>5346</v>
      </c>
      <c r="F148" s="0" t="s">
        <v>4971</v>
      </c>
      <c r="G148" s="0" t="s">
        <v>5347</v>
      </c>
    </row>
    <row customHeight="1" ht="11.25">
      <c r="A149" s="1854" t="s">
        <v>16</v>
      </c>
      <c r="B149" s="0" t="s">
        <v>5348</v>
      </c>
      <c r="C149" s="0" t="s">
        <v>5349</v>
      </c>
      <c r="D149" s="0" t="s">
        <v>5348</v>
      </c>
      <c r="E149" s="0" t="s">
        <v>5349</v>
      </c>
      <c r="F149" s="0" t="s">
        <v>4971</v>
      </c>
      <c r="G149" s="0" t="s">
        <v>5350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234BE-F329-FDC3-C2C7-B813C78BFBD3}"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7" width="13.8515625" customWidth="1"/>
  </cols>
  <sheetData>
    <row customHeight="1" ht="11.25">
      <c r="A1" s="842" t="s">
        <v>5351</v>
      </c>
      <c r="B1" s="69" t="s">
        <v>5352</v>
      </c>
      <c r="C1" s="69" t="s">
        <v>5353</v>
      </c>
      <c r="D1" s="69" t="s">
        <v>5354</v>
      </c>
      <c r="E1" s="69" t="s">
        <v>5355</v>
      </c>
      <c r="F1" s="69" t="s">
        <v>5356</v>
      </c>
      <c r="G1" s="69" t="s">
        <v>5357</v>
      </c>
      <c r="H1" s="69" t="s">
        <v>5358</v>
      </c>
      <c r="I1" s="69" t="s">
        <v>5359</v>
      </c>
    </row>
    <row customHeight="1" ht="11.25">
      <c r="A2" s="1697" t="s">
        <v>109</v>
      </c>
      <c r="B2" s="0" t="s">
        <v>1013</v>
      </c>
      <c r="C2" s="0" t="s">
        <v>5360</v>
      </c>
      <c r="D2" s="0" t="s">
        <v>1017</v>
      </c>
      <c r="E2" s="0" t="s">
        <v>1018</v>
      </c>
      <c r="F2" s="0" t="s">
        <v>5361</v>
      </c>
      <c r="G2" s="0" t="s">
        <v>5362</v>
      </c>
      <c r="H2" s="0" t="s">
        <v>5363</v>
      </c>
      <c r="I2" s="0" t="s">
        <v>1017</v>
      </c>
    </row>
    <row customHeight="1" ht="11.25">
      <c r="A3" s="1697" t="s">
        <v>110</v>
      </c>
      <c r="B3" s="0" t="s">
        <v>1013</v>
      </c>
      <c r="C3" s="0" t="s">
        <v>5360</v>
      </c>
      <c r="D3" s="0" t="s">
        <v>1017</v>
      </c>
      <c r="E3" s="0" t="s">
        <v>1018</v>
      </c>
      <c r="F3" s="0" t="s">
        <v>5364</v>
      </c>
      <c r="G3" s="0" t="s">
        <v>5362</v>
      </c>
      <c r="H3" s="0" t="s">
        <v>5363</v>
      </c>
      <c r="I3" s="0" t="s">
        <v>1017</v>
      </c>
    </row>
    <row customHeight="1" ht="11.25">
      <c r="A4" s="1697" t="s">
        <v>90</v>
      </c>
      <c r="B4" s="0" t="s">
        <v>5365</v>
      </c>
      <c r="C4" s="0" t="s">
        <v>22</v>
      </c>
      <c r="D4" s="0" t="s">
        <v>5366</v>
      </c>
      <c r="E4" s="0" t="s">
        <v>5367</v>
      </c>
      <c r="F4" s="0" t="s">
        <v>22</v>
      </c>
      <c r="G4" s="0" t="s">
        <v>22</v>
      </c>
      <c r="H4" s="0" t="s">
        <v>22</v>
      </c>
      <c r="I4" s="0" t="s">
        <v>22</v>
      </c>
    </row>
    <row customHeight="1" ht="11.25">
      <c r="A5" s="1697" t="s">
        <v>91</v>
      </c>
      <c r="B5" s="0" t="s">
        <v>5368</v>
      </c>
      <c r="C5" s="0" t="s">
        <v>22</v>
      </c>
      <c r="D5" s="0" t="s">
        <v>5366</v>
      </c>
      <c r="E5" s="0" t="s">
        <v>5367</v>
      </c>
      <c r="F5" s="0" t="s">
        <v>22</v>
      </c>
      <c r="G5" s="0" t="s">
        <v>22</v>
      </c>
      <c r="H5" s="0" t="s">
        <v>22</v>
      </c>
      <c r="I5" s="0" t="s">
        <v>22</v>
      </c>
    </row>
    <row customHeight="1" ht="11.25">
      <c r="A6" s="1697" t="s">
        <v>111</v>
      </c>
      <c r="B6" s="0" t="s">
        <v>5369</v>
      </c>
      <c r="C6" s="0" t="s">
        <v>22</v>
      </c>
      <c r="D6" s="0" t="s">
        <v>5366</v>
      </c>
      <c r="E6" s="0" t="s">
        <v>5370</v>
      </c>
      <c r="F6" s="0" t="s">
        <v>22</v>
      </c>
      <c r="G6" s="0" t="s">
        <v>22</v>
      </c>
      <c r="H6" s="0" t="s">
        <v>22</v>
      </c>
      <c r="I6" s="0" t="s">
        <v>22</v>
      </c>
    </row>
    <row customHeight="1" ht="11.25">
      <c r="A7" s="1697" t="s">
        <v>92</v>
      </c>
      <c r="B7" s="0" t="s">
        <v>5371</v>
      </c>
      <c r="C7" s="0" t="s">
        <v>22</v>
      </c>
      <c r="D7" s="0" t="s">
        <v>5366</v>
      </c>
      <c r="E7" s="0" t="s">
        <v>5367</v>
      </c>
      <c r="F7" s="0" t="s">
        <v>22</v>
      </c>
      <c r="G7" s="0" t="s">
        <v>22</v>
      </c>
      <c r="H7" s="0" t="s">
        <v>22</v>
      </c>
      <c r="I7" s="0" t="s">
        <v>22</v>
      </c>
    </row>
    <row customHeight="1" ht="11.25">
      <c r="A8" s="1697" t="s">
        <v>93</v>
      </c>
      <c r="B8" s="0" t="s">
        <v>5372</v>
      </c>
      <c r="C8" s="0" t="s">
        <v>22</v>
      </c>
      <c r="D8" s="0" t="s">
        <v>5366</v>
      </c>
      <c r="E8" s="0" t="s">
        <v>5367</v>
      </c>
      <c r="F8" s="0" t="s">
        <v>22</v>
      </c>
      <c r="G8" s="0" t="s">
        <v>22</v>
      </c>
      <c r="H8" s="0" t="s">
        <v>22</v>
      </c>
      <c r="I8" s="0" t="s">
        <v>22</v>
      </c>
    </row>
    <row customHeight="1" ht="11.25">
      <c r="A9" s="1697" t="s">
        <v>112</v>
      </c>
      <c r="B9" s="0" t="s">
        <v>5373</v>
      </c>
      <c r="C9" s="0" t="s">
        <v>22</v>
      </c>
      <c r="D9" s="0" t="s">
        <v>5366</v>
      </c>
      <c r="E9" s="0" t="s">
        <v>5367</v>
      </c>
      <c r="F9" s="0" t="s">
        <v>22</v>
      </c>
      <c r="G9" s="0" t="s">
        <v>22</v>
      </c>
      <c r="H9" s="0" t="s">
        <v>22</v>
      </c>
      <c r="I9" s="0" t="s">
        <v>22</v>
      </c>
    </row>
    <row customHeight="1" ht="11.25">
      <c r="A10" s="1697" t="s">
        <v>149</v>
      </c>
      <c r="B10" s="0" t="s">
        <v>5374</v>
      </c>
      <c r="C10" s="0" t="s">
        <v>22</v>
      </c>
      <c r="D10" s="0" t="s">
        <v>5366</v>
      </c>
      <c r="E10" s="0" t="s">
        <v>5367</v>
      </c>
      <c r="F10" s="0" t="s">
        <v>22</v>
      </c>
      <c r="G10" s="0" t="s">
        <v>22</v>
      </c>
      <c r="H10" s="0" t="s">
        <v>22</v>
      </c>
      <c r="I10" s="0" t="s">
        <v>22</v>
      </c>
    </row>
    <row customHeight="1" ht="11.25">
      <c r="A11" s="1697" t="s">
        <v>150</v>
      </c>
      <c r="B11" s="0" t="s">
        <v>5375</v>
      </c>
      <c r="C11" s="0" t="s">
        <v>22</v>
      </c>
      <c r="D11" s="0" t="s">
        <v>5366</v>
      </c>
      <c r="E11" s="0" t="s">
        <v>5370</v>
      </c>
      <c r="F11" s="0" t="s">
        <v>22</v>
      </c>
      <c r="G11" s="0" t="s">
        <v>22</v>
      </c>
      <c r="H11" s="0" t="s">
        <v>22</v>
      </c>
      <c r="I11" s="0" t="s">
        <v>22</v>
      </c>
    </row>
    <row customHeight="1" ht="11.25">
      <c r="A12" s="1697" t="s">
        <v>151</v>
      </c>
      <c r="B12" s="0" t="s">
        <v>5376</v>
      </c>
      <c r="C12" s="0" t="s">
        <v>22</v>
      </c>
      <c r="D12" s="0" t="s">
        <v>5366</v>
      </c>
      <c r="E12" s="0" t="s">
        <v>5367</v>
      </c>
      <c r="F12" s="0" t="s">
        <v>22</v>
      </c>
      <c r="G12" s="0" t="s">
        <v>22</v>
      </c>
      <c r="H12" s="0" t="s">
        <v>22</v>
      </c>
      <c r="I12" s="0" t="s">
        <v>22</v>
      </c>
    </row>
    <row customHeight="1" ht="11.25">
      <c r="A13" s="1697" t="s">
        <v>152</v>
      </c>
      <c r="B13" s="0" t="s">
        <v>5377</v>
      </c>
      <c r="C13" s="0" t="s">
        <v>22</v>
      </c>
      <c r="D13" s="0" t="s">
        <v>5366</v>
      </c>
      <c r="E13" s="0" t="s">
        <v>5367</v>
      </c>
      <c r="F13" s="0" t="s">
        <v>22</v>
      </c>
      <c r="G13" s="0" t="s">
        <v>22</v>
      </c>
      <c r="H13" s="0" t="s">
        <v>22</v>
      </c>
      <c r="I13"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68E72-3DE4-FC17-90D5-90B53B0659E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BEF07-6392-0CA6-73BE-EECEED35F63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hidden="1" customWidth="1"/>
    <col min="32" max="32" style="1642" width="103.7109375" customWidth="1"/>
    <col min="33" max="34" style="1642" width="103.7109375" hidden="1"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43" t="s">
        <v>351</v>
      </c>
      <c r="I1" s="2243"/>
      <c r="J1" s="2243"/>
      <c r="K1" s="2243"/>
      <c r="L1" s="2243"/>
      <c r="M1" s="2243"/>
      <c r="N1" s="2243"/>
      <c r="O1" s="2243"/>
      <c r="P1" s="2243"/>
      <c r="Q1" s="2243"/>
      <c r="R1" s="2243"/>
      <c r="T1" s="2243" t="s">
        <v>352</v>
      </c>
      <c r="U1" s="2243"/>
      <c r="V1" s="2243"/>
      <c r="X1" s="2243" t="s">
        <v>353</v>
      </c>
      <c r="Y1" s="2243"/>
      <c r="Z1" s="2243"/>
      <c r="AB1" s="2243" t="s">
        <v>354</v>
      </c>
      <c r="AC1" s="2243"/>
      <c r="AT1" s="454" t="s">
        <v>14</v>
      </c>
    </row>
    <row customHeight="1" ht="14.25" hidden="1">
      <c r="AT2" s="454">
        <v>0</v>
      </c>
    </row>
    <row s="1620" customFormat="1" customHeight="1" ht="5.25">
      <c r="C3" s="708"/>
      <c r="D3" s="709"/>
      <c r="E3" s="709"/>
      <c r="F3" s="709"/>
      <c r="G3" s="709"/>
      <c r="H3" s="709" t="s">
        <v>355</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83" t="str">
        <f>ORG_VD_NAME_FORM</f>
        <v>Форма 1. Информация об организации, осуществляющей водоотведение (общая информация)</v>
      </c>
      <c r="E4" s="2184"/>
      <c r="F4" s="2184"/>
      <c r="G4" s="2184"/>
      <c r="H4" s="2184"/>
      <c r="I4" s="2184"/>
      <c r="J4" s="2184"/>
      <c r="K4" s="2184"/>
      <c r="L4" s="2184"/>
      <c r="M4" s="2184"/>
      <c r="N4" s="2184"/>
      <c r="O4" s="2184"/>
      <c r="P4" s="2184"/>
      <c r="Q4" s="2184"/>
      <c r="R4" s="2185"/>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40" t="str">
        <f>IF(org=0,"Не определено",org)</f>
        <v>Общество с ограниченной ответственностью "Сигнал", г. Серов</v>
      </c>
      <c r="E5" s="2241"/>
      <c r="F5" s="2241"/>
      <c r="G5" s="2241"/>
      <c r="H5" s="2241"/>
      <c r="I5" s="2241"/>
      <c r="J5" s="2241"/>
      <c r="K5" s="2241"/>
      <c r="L5" s="2241"/>
      <c r="M5" s="2241"/>
      <c r="N5" s="2241"/>
      <c r="O5" s="2241"/>
      <c r="P5" s="2241"/>
      <c r="Q5" s="2241"/>
      <c r="R5" s="2242"/>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44" t="s">
        <v>299</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300</v>
      </c>
      <c r="AF7" s="2249" t="s">
        <v>300</v>
      </c>
      <c r="AG7" s="2249" t="s">
        <v>300</v>
      </c>
      <c r="AH7" s="2249" t="s">
        <v>300</v>
      </c>
      <c r="AT7" s="454">
        <v>14</v>
      </c>
    </row>
    <row customHeight="1" ht="27.299999999999997">
      <c r="C8" s="457"/>
      <c r="D8" s="2153" t="s">
        <v>88</v>
      </c>
      <c r="E8" s="2249" t="str">
        <f>"Наименование "&amp;IF(TEMPLATE_SPHERE&lt;&gt;"HEAT","централизованной ","")&amp;"системы "&amp;TEMPLATE_SPHERE_RUS</f>
        <v>Наименование централизованной системы водоотведения</v>
      </c>
      <c r="F8" s="2249" t="str">
        <f>IF(TEMPLATE_SPHERE&lt;&gt;"HEAT","Регулируемый вид деятельности","Вид регулируемой деятельности")</f>
        <v>Регулируемый вид деятельности</v>
      </c>
      <c r="G8" s="835"/>
      <c r="H8" s="2250" t="s">
        <v>356</v>
      </c>
      <c r="I8" s="2252" t="s">
        <v>357</v>
      </c>
      <c r="J8" s="2249" t="s">
        <v>358</v>
      </c>
      <c r="K8" s="2249"/>
      <c r="L8" s="2249"/>
      <c r="M8" s="2244"/>
      <c r="N8" s="2249" t="s">
        <v>359</v>
      </c>
      <c r="O8" s="2249"/>
      <c r="P8" s="2249" t="s">
        <v>360</v>
      </c>
      <c r="Q8" s="2249"/>
      <c r="R8" s="2256" t="s">
        <v>361</v>
      </c>
      <c r="S8" s="831"/>
      <c r="T8" s="2254" t="s">
        <v>362</v>
      </c>
      <c r="U8" s="2254" t="s">
        <v>363</v>
      </c>
      <c r="V8" s="2254" t="s">
        <v>364</v>
      </c>
      <c r="W8" s="833"/>
      <c r="X8" s="2254" t="s">
        <v>365</v>
      </c>
      <c r="Y8" s="2254" t="s">
        <v>366</v>
      </c>
      <c r="Z8" s="2254" t="s">
        <v>367</v>
      </c>
      <c r="AA8" s="833"/>
      <c r="AB8" s="2254" t="s">
        <v>368</v>
      </c>
      <c r="AC8" s="2254" t="s">
        <v>361</v>
      </c>
      <c r="AD8" s="833"/>
      <c r="AE8" s="2249"/>
      <c r="AF8" s="2249"/>
      <c r="AG8" s="2249"/>
      <c r="AH8" s="2249"/>
      <c r="AT8" s="454">
        <v>26</v>
      </c>
    </row>
    <row customHeight="1" ht="46.199999999999996">
      <c r="C9" s="457"/>
      <c r="D9" s="2153"/>
      <c r="E9" s="2249"/>
      <c r="F9" s="2249"/>
      <c r="G9" s="836"/>
      <c r="H9" s="2251"/>
      <c r="I9" s="2253"/>
      <c r="J9" s="432" t="s">
        <v>369</v>
      </c>
      <c r="K9" s="432" t="s">
        <v>370</v>
      </c>
      <c r="L9" s="432" t="s">
        <v>371</v>
      </c>
      <c r="M9" s="438" t="s">
        <v>372</v>
      </c>
      <c r="N9" s="432" t="s">
        <v>373</v>
      </c>
      <c r="O9" s="432" t="s">
        <v>372</v>
      </c>
      <c r="P9" s="432" t="s">
        <v>374</v>
      </c>
      <c r="Q9" s="432" t="s">
        <v>372</v>
      </c>
      <c r="R9" s="2257"/>
      <c r="S9" s="832"/>
      <c r="T9" s="2255"/>
      <c r="U9" s="2255"/>
      <c r="V9" s="2255"/>
      <c r="W9" s="834"/>
      <c r="X9" s="2255"/>
      <c r="Y9" s="2255"/>
      <c r="Z9" s="2255"/>
      <c r="AA9" s="834"/>
      <c r="AB9" s="2255"/>
      <c r="AC9" s="2255"/>
      <c r="AD9" s="834"/>
      <c r="AE9" s="2249"/>
      <c r="AF9" s="2249"/>
      <c r="AG9" s="2249"/>
      <c r="AH9" s="2249"/>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375</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7" t="s">
        <v>376</v>
      </c>
      <c r="AF12" s="2247" t="s">
        <v>377</v>
      </c>
      <c r="AG12" s="2247" t="s">
        <v>378</v>
      </c>
      <c r="AH12" s="2247" t="s">
        <v>379</v>
      </c>
      <c r="AI12" s="454"/>
      <c r="AM12" s="518"/>
      <c r="AP12" s="507" t="s">
        <v>380</v>
      </c>
      <c r="AQ12" s="507" t="s">
        <v>380</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8"/>
      <c r="AF13" s="2248"/>
      <c r="AG13" s="2248"/>
      <c r="AH13" s="2248"/>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F8FAA-7D74-E93E-AABD-03F0F67B217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5378</v>
      </c>
    </row>
    <row customHeight="1" ht="11.25">
      <c r="A2" s="190" t="s">
        <v>98</v>
      </c>
      <c r="B2" s="190" t="s">
        <v>5379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8233E-679E-31AE-54C1-6B7B9795CA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5380</v>
      </c>
      <c r="B1" s="842" t="s">
        <v>5381</v>
      </c>
    </row>
    <row customHeight="1" ht="11.25">
      <c r="A2" s="842">
        <v>4213775</v>
      </c>
      <c r="B2" s="842" t="s">
        <v>1270</v>
      </c>
    </row>
    <row customHeight="1" ht="11.25">
      <c r="A3" s="842">
        <v>4213784</v>
      </c>
      <c r="B3" s="842" t="s">
        <v>1304</v>
      </c>
    </row>
    <row customHeight="1" ht="11.25">
      <c r="A4" s="842">
        <v>4213781</v>
      </c>
      <c r="B4" s="842" t="s">
        <v>1297</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1438</v>
      </c>
    </row>
    <row customHeight="1" ht="11.25">
      <c r="A10" s="842">
        <v>4213783</v>
      </c>
      <c r="B10" s="842" t="s">
        <v>1454</v>
      </c>
    </row>
    <row customHeight="1" ht="11.25">
      <c r="A11" s="842">
        <v>4213782</v>
      </c>
      <c r="B11" s="84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B0D55-8A12-D4BC-28AF-0D08B8367DF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s>
  <sheetData>
    <row customHeight="1" ht="11.25">
      <c r="A1" s="842" t="s">
        <v>5380</v>
      </c>
      <c r="B1" s="69" t="s">
        <v>5382</v>
      </c>
    </row>
    <row customHeight="1" ht="11.25">
      <c r="A2" s="842" t="s">
        <v>118</v>
      </c>
      <c r="B2" s="0" t="s">
        <v>1558</v>
      </c>
    </row>
    <row customHeight="1" ht="11.25">
      <c r="A3" s="1697" t="s">
        <v>5383</v>
      </c>
      <c r="B3" s="0" t="s">
        <v>1567</v>
      </c>
    </row>
    <row customHeight="1" ht="11.25">
      <c r="A4" s="1697" t="s">
        <v>5384</v>
      </c>
      <c r="B4" s="0"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10BB8-E7E6-7922-F9D3-E1AFA4D28A89}"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80" t="s">
        <v>4959</v>
      </c>
      <c r="B1" s="380" t="s">
        <v>4960</v>
      </c>
      <c r="C1" s="380" t="s">
        <v>4961</v>
      </c>
      <c r="D1" s="380" t="s">
        <v>4962</v>
      </c>
      <c r="E1" s="0" t="s">
        <v>4963</v>
      </c>
      <c r="F1" s="0" t="s">
        <v>4964</v>
      </c>
      <c r="G1" s="0" t="s">
        <v>4965</v>
      </c>
    </row>
    <row customHeight="1" ht="11.25">
      <c r="A2" s="0" t="s">
        <v>16</v>
      </c>
      <c r="B2" s="0" t="s">
        <v>4966</v>
      </c>
      <c r="C2" s="0" t="s">
        <v>4967</v>
      </c>
      <c r="D2" s="0" t="s">
        <v>4966</v>
      </c>
      <c r="E2" s="0" t="s">
        <v>4967</v>
      </c>
      <c r="F2" s="0" t="s">
        <v>4968</v>
      </c>
      <c r="G2" s="0" t="s">
        <v>109</v>
      </c>
    </row>
    <row customHeight="1" ht="11.25">
      <c r="A3" s="0" t="s">
        <v>16</v>
      </c>
      <c r="B3" s="0" t="s">
        <v>4969</v>
      </c>
      <c r="C3" s="0" t="s">
        <v>4970</v>
      </c>
      <c r="D3" s="0" t="s">
        <v>4969</v>
      </c>
      <c r="E3" s="0" t="s">
        <v>4970</v>
      </c>
      <c r="F3" s="0" t="s">
        <v>4971</v>
      </c>
      <c r="G3" s="0" t="s">
        <v>110</v>
      </c>
    </row>
    <row customHeight="1" ht="11.25">
      <c r="A4" s="0" t="s">
        <v>16</v>
      </c>
      <c r="B4" s="0" t="s">
        <v>4972</v>
      </c>
      <c r="C4" s="0" t="s">
        <v>4973</v>
      </c>
      <c r="D4" s="0" t="s">
        <v>4972</v>
      </c>
      <c r="E4" s="0" t="s">
        <v>4973</v>
      </c>
      <c r="F4" s="0" t="s">
        <v>4968</v>
      </c>
      <c r="G4" s="0" t="s">
        <v>90</v>
      </c>
    </row>
    <row customHeight="1" ht="11.25">
      <c r="A5" s="0" t="s">
        <v>16</v>
      </c>
      <c r="B5" s="0" t="s">
        <v>4974</v>
      </c>
      <c r="C5" s="0" t="s">
        <v>4975</v>
      </c>
      <c r="D5" s="0" t="s">
        <v>4974</v>
      </c>
      <c r="E5" s="0" t="s">
        <v>4975</v>
      </c>
      <c r="F5" s="0" t="s">
        <v>4971</v>
      </c>
      <c r="G5" s="0" t="s">
        <v>91</v>
      </c>
    </row>
    <row customHeight="1" ht="11.25">
      <c r="A6" s="0" t="s">
        <v>16</v>
      </c>
      <c r="B6" s="0" t="s">
        <v>4976</v>
      </c>
      <c r="C6" s="0" t="s">
        <v>4977</v>
      </c>
      <c r="D6" s="0" t="s">
        <v>4976</v>
      </c>
      <c r="E6" s="0" t="s">
        <v>4977</v>
      </c>
      <c r="F6" s="0" t="s">
        <v>4968</v>
      </c>
      <c r="G6" s="0" t="s">
        <v>111</v>
      </c>
    </row>
    <row customHeight="1" ht="11.25">
      <c r="A7" s="0" t="s">
        <v>16</v>
      </c>
      <c r="B7" s="0" t="s">
        <v>4978</v>
      </c>
      <c r="C7" s="0" t="s">
        <v>4979</v>
      </c>
      <c r="D7" s="0" t="s">
        <v>4978</v>
      </c>
      <c r="E7" s="0" t="s">
        <v>4979</v>
      </c>
      <c r="F7" s="0" t="s">
        <v>4971</v>
      </c>
      <c r="G7" s="0" t="s">
        <v>92</v>
      </c>
    </row>
    <row customHeight="1" ht="11.25">
      <c r="A8" s="0" t="s">
        <v>16</v>
      </c>
      <c r="B8" s="0" t="s">
        <v>4980</v>
      </c>
      <c r="C8" s="0" t="s">
        <v>4981</v>
      </c>
      <c r="D8" s="0" t="s">
        <v>4980</v>
      </c>
      <c r="E8" s="0" t="s">
        <v>4981</v>
      </c>
      <c r="F8" s="0" t="s">
        <v>4968</v>
      </c>
      <c r="G8" s="0" t="s">
        <v>93</v>
      </c>
    </row>
    <row customHeight="1" ht="11.25">
      <c r="A9" s="0" t="s">
        <v>16</v>
      </c>
      <c r="B9" s="0" t="s">
        <v>4982</v>
      </c>
      <c r="C9" s="0" t="s">
        <v>4983</v>
      </c>
      <c r="D9" s="0" t="s">
        <v>4982</v>
      </c>
      <c r="E9" s="0" t="s">
        <v>4983</v>
      </c>
      <c r="F9" s="0" t="s">
        <v>4971</v>
      </c>
      <c r="G9" s="0" t="s">
        <v>112</v>
      </c>
    </row>
    <row customHeight="1" ht="11.25">
      <c r="A10" s="0" t="s">
        <v>16</v>
      </c>
      <c r="B10" s="0" t="s">
        <v>4984</v>
      </c>
      <c r="C10" s="0" t="s">
        <v>4985</v>
      </c>
      <c r="D10" s="0" t="s">
        <v>4984</v>
      </c>
      <c r="E10" s="0" t="s">
        <v>4985</v>
      </c>
      <c r="F10" s="0" t="s">
        <v>4968</v>
      </c>
      <c r="G10" s="0" t="s">
        <v>149</v>
      </c>
    </row>
    <row customHeight="1" ht="11.25">
      <c r="A11" s="0" t="s">
        <v>16</v>
      </c>
      <c r="B11" s="0" t="s">
        <v>4986</v>
      </c>
      <c r="C11" s="0" t="s">
        <v>4987</v>
      </c>
      <c r="D11" s="0" t="s">
        <v>4986</v>
      </c>
      <c r="E11" s="0" t="s">
        <v>4987</v>
      </c>
      <c r="F11" s="0" t="s">
        <v>4971</v>
      </c>
      <c r="G11" s="0" t="s">
        <v>150</v>
      </c>
    </row>
    <row customHeight="1" ht="11.25">
      <c r="A12" s="0" t="s">
        <v>16</v>
      </c>
      <c r="B12" s="0" t="s">
        <v>4988</v>
      </c>
      <c r="C12" s="0" t="s">
        <v>4989</v>
      </c>
      <c r="D12" s="0" t="s">
        <v>4990</v>
      </c>
      <c r="E12" s="0" t="s">
        <v>4991</v>
      </c>
      <c r="F12" s="0" t="s">
        <v>4992</v>
      </c>
      <c r="G12" s="0" t="s">
        <v>151</v>
      </c>
    </row>
    <row customHeight="1" ht="11.25">
      <c r="A13" s="0" t="s">
        <v>16</v>
      </c>
      <c r="B13" s="0" t="s">
        <v>4988</v>
      </c>
      <c r="C13" s="0" t="s">
        <v>4989</v>
      </c>
      <c r="D13" s="0" t="s">
        <v>4988</v>
      </c>
      <c r="E13" s="0" t="s">
        <v>4989</v>
      </c>
      <c r="F13" s="0" t="s">
        <v>4993</v>
      </c>
      <c r="G13" s="0" t="s">
        <v>152</v>
      </c>
    </row>
    <row customHeight="1" ht="11.25">
      <c r="A14" s="0" t="s">
        <v>16</v>
      </c>
      <c r="B14" s="0" t="s">
        <v>4988</v>
      </c>
      <c r="C14" s="0" t="s">
        <v>4989</v>
      </c>
      <c r="D14" s="0" t="s">
        <v>4994</v>
      </c>
      <c r="E14" s="0" t="s">
        <v>4995</v>
      </c>
      <c r="F14" s="0" t="s">
        <v>4992</v>
      </c>
      <c r="G14" s="0" t="s">
        <v>153</v>
      </c>
    </row>
    <row customHeight="1" ht="11.25">
      <c r="A15" s="0" t="s">
        <v>16</v>
      </c>
      <c r="B15" s="0" t="s">
        <v>4988</v>
      </c>
      <c r="C15" s="0" t="s">
        <v>4989</v>
      </c>
      <c r="D15" s="0" t="s">
        <v>4996</v>
      </c>
      <c r="E15" s="0" t="s">
        <v>4997</v>
      </c>
      <c r="F15" s="0" t="s">
        <v>4992</v>
      </c>
      <c r="G15" s="0" t="s">
        <v>154</v>
      </c>
    </row>
    <row customHeight="1" ht="11.25">
      <c r="A16" s="0" t="s">
        <v>16</v>
      </c>
      <c r="B16" s="0" t="s">
        <v>4998</v>
      </c>
      <c r="C16" s="0" t="s">
        <v>4999</v>
      </c>
      <c r="D16" s="0" t="s">
        <v>4998</v>
      </c>
      <c r="E16" s="0" t="s">
        <v>4999</v>
      </c>
      <c r="F16" s="0" t="s">
        <v>4968</v>
      </c>
      <c r="G16" s="0" t="s">
        <v>1517</v>
      </c>
    </row>
    <row customHeight="1" ht="11.25">
      <c r="A17" s="0" t="s">
        <v>16</v>
      </c>
      <c r="B17" s="0" t="s">
        <v>5000</v>
      </c>
      <c r="C17" s="0" t="s">
        <v>5001</v>
      </c>
      <c r="D17" s="0" t="s">
        <v>5000</v>
      </c>
      <c r="E17" s="0" t="s">
        <v>5001</v>
      </c>
      <c r="F17" s="0" t="s">
        <v>4971</v>
      </c>
      <c r="G17" s="0" t="s">
        <v>1523</v>
      </c>
    </row>
    <row customHeight="1" ht="11.25">
      <c r="A18" s="0" t="s">
        <v>16</v>
      </c>
      <c r="B18" s="0" t="s">
        <v>5002</v>
      </c>
      <c r="C18" s="0" t="s">
        <v>5003</v>
      </c>
      <c r="D18" s="0" t="s">
        <v>5002</v>
      </c>
      <c r="E18" s="0" t="s">
        <v>5003</v>
      </c>
      <c r="F18" s="0" t="s">
        <v>4968</v>
      </c>
      <c r="G18" s="0" t="s">
        <v>1535</v>
      </c>
    </row>
    <row customHeight="1" ht="11.25">
      <c r="A19" s="0" t="s">
        <v>16</v>
      </c>
      <c r="B19" s="0" t="s">
        <v>5004</v>
      </c>
      <c r="C19" s="0" t="s">
        <v>5005</v>
      </c>
      <c r="D19" s="0" t="s">
        <v>5004</v>
      </c>
      <c r="E19" s="0" t="s">
        <v>5005</v>
      </c>
      <c r="F19" s="0" t="s">
        <v>4971</v>
      </c>
      <c r="G19" s="0" t="s">
        <v>1549</v>
      </c>
    </row>
    <row customHeight="1" ht="11.25">
      <c r="A20" s="0" t="s">
        <v>16</v>
      </c>
      <c r="B20" s="0" t="s">
        <v>5006</v>
      </c>
      <c r="C20" s="0" t="s">
        <v>5007</v>
      </c>
      <c r="D20" s="0" t="s">
        <v>5006</v>
      </c>
      <c r="E20" s="0" t="s">
        <v>5007</v>
      </c>
      <c r="F20" s="0" t="s">
        <v>4968</v>
      </c>
      <c r="G20" s="0" t="s">
        <v>1561</v>
      </c>
    </row>
    <row customHeight="1" ht="11.25">
      <c r="A21" s="0" t="s">
        <v>16</v>
      </c>
      <c r="B21" s="0" t="s">
        <v>5008</v>
      </c>
      <c r="C21" s="0" t="s">
        <v>5009</v>
      </c>
      <c r="D21" s="0" t="s">
        <v>5008</v>
      </c>
      <c r="E21" s="0" t="s">
        <v>5009</v>
      </c>
      <c r="F21" s="0" t="s">
        <v>4971</v>
      </c>
      <c r="G21" s="0" t="s">
        <v>1570</v>
      </c>
    </row>
    <row customHeight="1" ht="11.25">
      <c r="A22" s="0" t="s">
        <v>16</v>
      </c>
      <c r="B22" s="0" t="s">
        <v>5010</v>
      </c>
      <c r="C22" s="0" t="s">
        <v>5011</v>
      </c>
      <c r="D22" s="0" t="s">
        <v>5010</v>
      </c>
      <c r="E22" s="0" t="s">
        <v>5011</v>
      </c>
      <c r="F22" s="0" t="s">
        <v>4968</v>
      </c>
      <c r="G22" s="0" t="s">
        <v>1586</v>
      </c>
    </row>
    <row customHeight="1" ht="11.25">
      <c r="A23" s="0" t="s">
        <v>16</v>
      </c>
      <c r="B23" s="0" t="s">
        <v>5012</v>
      </c>
      <c r="C23" s="0" t="s">
        <v>5013</v>
      </c>
      <c r="D23" s="0" t="s">
        <v>5012</v>
      </c>
      <c r="E23" s="0" t="s">
        <v>5013</v>
      </c>
      <c r="F23" s="0" t="s">
        <v>4968</v>
      </c>
      <c r="G23" s="0" t="s">
        <v>1592</v>
      </c>
    </row>
    <row customHeight="1" ht="11.25">
      <c r="A24" s="0" t="s">
        <v>16</v>
      </c>
      <c r="B24" s="0" t="s">
        <v>5014</v>
      </c>
      <c r="C24" s="0" t="s">
        <v>5015</v>
      </c>
      <c r="D24" s="0" t="s">
        <v>5014</v>
      </c>
      <c r="E24" s="0" t="s">
        <v>5015</v>
      </c>
      <c r="F24" s="0" t="s">
        <v>4971</v>
      </c>
      <c r="G24" s="0" t="s">
        <v>1600</v>
      </c>
    </row>
    <row customHeight="1" ht="11.25">
      <c r="A25" s="0" t="s">
        <v>16</v>
      </c>
      <c r="B25" s="0" t="s">
        <v>5016</v>
      </c>
      <c r="C25" s="0" t="s">
        <v>5017</v>
      </c>
      <c r="D25" s="0" t="s">
        <v>5016</v>
      </c>
      <c r="E25" s="0" t="s">
        <v>5017</v>
      </c>
      <c r="F25" s="0" t="s">
        <v>4968</v>
      </c>
      <c r="G25" s="0" t="s">
        <v>1607</v>
      </c>
    </row>
    <row customHeight="1" ht="11.25">
      <c r="A26" s="0" t="s">
        <v>16</v>
      </c>
      <c r="B26" s="0" t="s">
        <v>5018</v>
      </c>
      <c r="C26" s="0" t="s">
        <v>5019</v>
      </c>
      <c r="D26" s="0" t="s">
        <v>5018</v>
      </c>
      <c r="E26" s="0" t="s">
        <v>5019</v>
      </c>
      <c r="F26" s="0" t="s">
        <v>4968</v>
      </c>
      <c r="G26" s="0" t="s">
        <v>1611</v>
      </c>
    </row>
    <row customHeight="1" ht="11.25">
      <c r="A27" s="0" t="s">
        <v>16</v>
      </c>
      <c r="B27" s="0" t="s">
        <v>5020</v>
      </c>
      <c r="C27" s="0" t="s">
        <v>5021</v>
      </c>
      <c r="D27" s="0" t="s">
        <v>5020</v>
      </c>
      <c r="E27" s="0" t="s">
        <v>5021</v>
      </c>
      <c r="F27" s="0" t="s">
        <v>4968</v>
      </c>
      <c r="G27" s="0" t="s">
        <v>1616</v>
      </c>
    </row>
    <row customHeight="1" ht="11.25">
      <c r="A28" s="0" t="s">
        <v>16</v>
      </c>
      <c r="B28" s="0" t="s">
        <v>5022</v>
      </c>
      <c r="C28" s="0" t="s">
        <v>5023</v>
      </c>
      <c r="D28" s="0" t="s">
        <v>5022</v>
      </c>
      <c r="E28" s="0" t="s">
        <v>5023</v>
      </c>
      <c r="F28" s="0" t="s">
        <v>4971</v>
      </c>
      <c r="G28" s="0" t="s">
        <v>1624</v>
      </c>
    </row>
    <row customHeight="1" ht="11.25">
      <c r="A29" s="0" t="s">
        <v>16</v>
      </c>
      <c r="B29" s="0" t="s">
        <v>5024</v>
      </c>
      <c r="C29" s="0" t="s">
        <v>5025</v>
      </c>
      <c r="D29" s="0" t="s">
        <v>5024</v>
      </c>
      <c r="E29" s="0" t="s">
        <v>5025</v>
      </c>
      <c r="F29" s="0" t="s">
        <v>4968</v>
      </c>
      <c r="G29" s="0" t="s">
        <v>1626</v>
      </c>
    </row>
    <row customHeight="1" ht="11.25">
      <c r="A30" s="0" t="s">
        <v>16</v>
      </c>
      <c r="B30" s="0" t="s">
        <v>5026</v>
      </c>
      <c r="C30" s="0" t="s">
        <v>5027</v>
      </c>
      <c r="D30" s="0" t="s">
        <v>5026</v>
      </c>
      <c r="E30" s="0" t="s">
        <v>5027</v>
      </c>
      <c r="F30" s="0" t="s">
        <v>4971</v>
      </c>
      <c r="G30" s="0" t="s">
        <v>1629</v>
      </c>
    </row>
    <row customHeight="1" ht="11.25">
      <c r="A31" s="0" t="s">
        <v>16</v>
      </c>
      <c r="B31" s="0" t="s">
        <v>5028</v>
      </c>
      <c r="C31" s="0" t="s">
        <v>5029</v>
      </c>
      <c r="D31" s="0" t="s">
        <v>5028</v>
      </c>
      <c r="E31" s="0" t="s">
        <v>5029</v>
      </c>
      <c r="F31" s="0" t="s">
        <v>4968</v>
      </c>
      <c r="G31" s="0" t="s">
        <v>1635</v>
      </c>
    </row>
    <row customHeight="1" ht="11.25">
      <c r="A32" s="0" t="s">
        <v>16</v>
      </c>
      <c r="B32" s="0" t="s">
        <v>5030</v>
      </c>
      <c r="C32" s="0" t="s">
        <v>5031</v>
      </c>
      <c r="D32" s="0" t="s">
        <v>5030</v>
      </c>
      <c r="E32" s="0" t="s">
        <v>5031</v>
      </c>
      <c r="F32" s="0" t="s">
        <v>4971</v>
      </c>
      <c r="G32" s="0" t="s">
        <v>1637</v>
      </c>
    </row>
    <row customHeight="1" ht="11.25">
      <c r="A33" s="0" t="s">
        <v>16</v>
      </c>
      <c r="B33" s="0" t="s">
        <v>5032</v>
      </c>
      <c r="C33" s="0" t="s">
        <v>5033</v>
      </c>
      <c r="D33" s="0" t="s">
        <v>5032</v>
      </c>
      <c r="E33" s="0" t="s">
        <v>5033</v>
      </c>
      <c r="F33" s="0" t="s">
        <v>4971</v>
      </c>
      <c r="G33" s="0" t="s">
        <v>1639</v>
      </c>
    </row>
    <row customHeight="1" ht="11.25">
      <c r="A34" s="0" t="s">
        <v>16</v>
      </c>
      <c r="B34" s="0" t="s">
        <v>5034</v>
      </c>
      <c r="C34" s="0" t="s">
        <v>5035</v>
      </c>
      <c r="D34" s="0" t="s">
        <v>5034</v>
      </c>
      <c r="E34" s="0" t="s">
        <v>5035</v>
      </c>
      <c r="F34" s="0" t="s">
        <v>4968</v>
      </c>
      <c r="G34" s="0" t="s">
        <v>1641</v>
      </c>
    </row>
    <row customHeight="1" ht="11.25">
      <c r="A35" s="0" t="s">
        <v>16</v>
      </c>
      <c r="B35" s="0" t="s">
        <v>5036</v>
      </c>
      <c r="C35" s="0" t="s">
        <v>5037</v>
      </c>
      <c r="D35" s="0" t="s">
        <v>5036</v>
      </c>
      <c r="E35" s="0" t="s">
        <v>5037</v>
      </c>
      <c r="F35" s="0" t="s">
        <v>4968</v>
      </c>
      <c r="G35" s="0" t="s">
        <v>1646</v>
      </c>
    </row>
    <row customHeight="1" ht="11.25">
      <c r="A36" s="0" t="s">
        <v>16</v>
      </c>
      <c r="B36" s="0" t="s">
        <v>5038</v>
      </c>
      <c r="C36" s="0" t="s">
        <v>5039</v>
      </c>
      <c r="D36" s="0" t="s">
        <v>5038</v>
      </c>
      <c r="E36" s="0" t="s">
        <v>5039</v>
      </c>
      <c r="F36" s="0" t="s">
        <v>4968</v>
      </c>
      <c r="G36" s="0" t="s">
        <v>1650</v>
      </c>
    </row>
    <row customHeight="1" ht="11.25">
      <c r="A37" s="0" t="s">
        <v>16</v>
      </c>
      <c r="B37" s="0" t="s">
        <v>5040</v>
      </c>
      <c r="C37" s="0" t="s">
        <v>5041</v>
      </c>
      <c r="D37" s="0" t="s">
        <v>5040</v>
      </c>
      <c r="E37" s="0" t="s">
        <v>5041</v>
      </c>
      <c r="F37" s="0" t="s">
        <v>4971</v>
      </c>
      <c r="G37" s="0" t="s">
        <v>1654</v>
      </c>
    </row>
    <row customHeight="1" ht="11.25">
      <c r="A38" s="0" t="s">
        <v>16</v>
      </c>
      <c r="B38" s="0" t="s">
        <v>5042</v>
      </c>
      <c r="C38" s="0" t="s">
        <v>5043</v>
      </c>
      <c r="D38" s="0" t="s">
        <v>5042</v>
      </c>
      <c r="E38" s="0" t="s">
        <v>5043</v>
      </c>
      <c r="F38" s="0" t="s">
        <v>4968</v>
      </c>
      <c r="G38" s="0" t="s">
        <v>1662</v>
      </c>
    </row>
    <row customHeight="1" ht="11.25">
      <c r="A39" s="0" t="s">
        <v>16</v>
      </c>
      <c r="B39" s="0" t="s">
        <v>5044</v>
      </c>
      <c r="C39" s="0" t="s">
        <v>5045</v>
      </c>
      <c r="D39" s="0" t="s">
        <v>5044</v>
      </c>
      <c r="E39" s="0" t="s">
        <v>5045</v>
      </c>
      <c r="F39" s="0" t="s">
        <v>4971</v>
      </c>
      <c r="G39" s="0" t="s">
        <v>1667</v>
      </c>
    </row>
    <row customHeight="1" ht="11.25">
      <c r="A40" s="0" t="s">
        <v>16</v>
      </c>
      <c r="B40" s="0" t="s">
        <v>5046</v>
      </c>
      <c r="C40" s="0" t="s">
        <v>5047</v>
      </c>
      <c r="D40" s="0" t="s">
        <v>5046</v>
      </c>
      <c r="E40" s="0" t="s">
        <v>5047</v>
      </c>
      <c r="F40" s="0" t="s">
        <v>4968</v>
      </c>
      <c r="G40" s="0" t="s">
        <v>1672</v>
      </c>
    </row>
    <row customHeight="1" ht="11.25">
      <c r="A41" s="0" t="s">
        <v>16</v>
      </c>
      <c r="B41" s="0" t="s">
        <v>5048</v>
      </c>
      <c r="C41" s="0" t="s">
        <v>5049</v>
      </c>
      <c r="D41" s="0" t="s">
        <v>5048</v>
      </c>
      <c r="E41" s="0" t="s">
        <v>5049</v>
      </c>
      <c r="F41" s="0" t="s">
        <v>4971</v>
      </c>
      <c r="G41" s="0" t="s">
        <v>1676</v>
      </c>
    </row>
    <row customHeight="1" ht="11.25">
      <c r="A42" s="0" t="s">
        <v>16</v>
      </c>
      <c r="B42" s="0" t="s">
        <v>5050</v>
      </c>
      <c r="C42" s="0" t="s">
        <v>5051</v>
      </c>
      <c r="D42" s="0" t="s">
        <v>5050</v>
      </c>
      <c r="E42" s="0" t="s">
        <v>5051</v>
      </c>
      <c r="F42" s="0" t="s">
        <v>4971</v>
      </c>
      <c r="G42" s="0" t="s">
        <v>1679</v>
      </c>
    </row>
    <row customHeight="1" ht="11.25">
      <c r="A43" s="0" t="s">
        <v>16</v>
      </c>
      <c r="B43" s="0" t="s">
        <v>5052</v>
      </c>
      <c r="C43" s="0" t="s">
        <v>5053</v>
      </c>
      <c r="D43" s="0" t="s">
        <v>5052</v>
      </c>
      <c r="E43" s="0" t="s">
        <v>5053</v>
      </c>
      <c r="F43" s="0" t="s">
        <v>4968</v>
      </c>
      <c r="G43" s="0" t="s">
        <v>1686</v>
      </c>
    </row>
    <row customHeight="1" ht="11.25">
      <c r="A44" s="0" t="s">
        <v>16</v>
      </c>
      <c r="B44" s="0" t="s">
        <v>5054</v>
      </c>
      <c r="C44" s="0" t="s">
        <v>5055</v>
      </c>
      <c r="D44" s="0" t="s">
        <v>5054</v>
      </c>
      <c r="E44" s="0" t="s">
        <v>5055</v>
      </c>
      <c r="F44" s="0" t="s">
        <v>4968</v>
      </c>
      <c r="G44" s="0" t="s">
        <v>1695</v>
      </c>
    </row>
    <row customHeight="1" ht="11.25">
      <c r="A45" s="0" t="s">
        <v>16</v>
      </c>
      <c r="B45" s="0" t="s">
        <v>5056</v>
      </c>
      <c r="C45" s="0" t="s">
        <v>5057</v>
      </c>
      <c r="D45" s="0" t="s">
        <v>5056</v>
      </c>
      <c r="E45" s="0" t="s">
        <v>5057</v>
      </c>
      <c r="F45" s="0" t="s">
        <v>4971</v>
      </c>
      <c r="G45" s="0" t="s">
        <v>1700</v>
      </c>
    </row>
    <row customHeight="1" ht="11.25">
      <c r="A46" s="0" t="s">
        <v>16</v>
      </c>
      <c r="B46" s="0" t="s">
        <v>5058</v>
      </c>
      <c r="C46" s="0" t="s">
        <v>5059</v>
      </c>
      <c r="D46" s="0" t="s">
        <v>5058</v>
      </c>
      <c r="E46" s="0" t="s">
        <v>5059</v>
      </c>
      <c r="F46" s="0" t="s">
        <v>4968</v>
      </c>
      <c r="G46" s="0" t="s">
        <v>1704</v>
      </c>
    </row>
    <row customHeight="1" ht="11.25">
      <c r="A47" s="0" t="s">
        <v>16</v>
      </c>
      <c r="B47" s="0" t="s">
        <v>5060</v>
      </c>
      <c r="C47" s="0" t="s">
        <v>5061</v>
      </c>
      <c r="D47" s="0" t="s">
        <v>5060</v>
      </c>
      <c r="E47" s="0" t="s">
        <v>5061</v>
      </c>
      <c r="F47" s="0" t="s">
        <v>4971</v>
      </c>
      <c r="G47" s="0" t="s">
        <v>1709</v>
      </c>
    </row>
    <row customHeight="1" ht="11.25">
      <c r="A48" s="0" t="s">
        <v>16</v>
      </c>
      <c r="B48" s="0" t="s">
        <v>5062</v>
      </c>
      <c r="C48" s="0" t="s">
        <v>5063</v>
      </c>
      <c r="D48" s="0" t="s">
        <v>5062</v>
      </c>
      <c r="E48" s="0" t="s">
        <v>5063</v>
      </c>
      <c r="F48" s="0" t="s">
        <v>4968</v>
      </c>
      <c r="G48" s="0" t="s">
        <v>1714</v>
      </c>
    </row>
    <row customHeight="1" ht="11.25">
      <c r="A49" s="0" t="s">
        <v>16</v>
      </c>
      <c r="B49" s="0" t="s">
        <v>5064</v>
      </c>
      <c r="C49" s="0" t="s">
        <v>5065</v>
      </c>
      <c r="D49" s="0" t="s">
        <v>5064</v>
      </c>
      <c r="E49" s="0" t="s">
        <v>5065</v>
      </c>
      <c r="F49" s="0" t="s">
        <v>4968</v>
      </c>
      <c r="G49" s="0" t="s">
        <v>1717</v>
      </c>
    </row>
    <row customHeight="1" ht="11.25">
      <c r="A50" s="0" t="s">
        <v>16</v>
      </c>
      <c r="B50" s="0" t="s">
        <v>5066</v>
      </c>
      <c r="C50" s="0" t="s">
        <v>5067</v>
      </c>
      <c r="D50" s="0" t="s">
        <v>5066</v>
      </c>
      <c r="E50" s="0" t="s">
        <v>5067</v>
      </c>
      <c r="F50" s="0" t="s">
        <v>4968</v>
      </c>
      <c r="G50" s="0" t="s">
        <v>1721</v>
      </c>
    </row>
    <row customHeight="1" ht="11.25">
      <c r="A51" s="0" t="s">
        <v>16</v>
      </c>
      <c r="B51" s="0" t="s">
        <v>5068</v>
      </c>
      <c r="C51" s="0" t="s">
        <v>5069</v>
      </c>
      <c r="D51" s="0" t="s">
        <v>5068</v>
      </c>
      <c r="E51" s="0" t="s">
        <v>5069</v>
      </c>
      <c r="F51" s="0" t="s">
        <v>4968</v>
      </c>
      <c r="G51" s="0" t="s">
        <v>1726</v>
      </c>
    </row>
    <row customHeight="1" ht="11.25">
      <c r="A52" s="0" t="s">
        <v>16</v>
      </c>
      <c r="B52" s="0" t="s">
        <v>5070</v>
      </c>
      <c r="C52" s="0" t="s">
        <v>5071</v>
      </c>
      <c r="D52" s="0" t="s">
        <v>5070</v>
      </c>
      <c r="E52" s="0" t="s">
        <v>5071</v>
      </c>
      <c r="F52" s="0" t="s">
        <v>4971</v>
      </c>
      <c r="G52" s="0" t="s">
        <v>1730</v>
      </c>
    </row>
    <row customHeight="1" ht="11.25">
      <c r="A53" s="0" t="s">
        <v>16</v>
      </c>
      <c r="B53" s="0" t="s">
        <v>5072</v>
      </c>
      <c r="C53" s="0" t="s">
        <v>5073</v>
      </c>
      <c r="D53" s="0" t="s">
        <v>5072</v>
      </c>
      <c r="E53" s="0" t="s">
        <v>5073</v>
      </c>
      <c r="F53" s="0" t="s">
        <v>4968</v>
      </c>
      <c r="G53" s="0" t="s">
        <v>1732</v>
      </c>
    </row>
    <row customHeight="1" ht="11.25">
      <c r="A54" s="0" t="s">
        <v>16</v>
      </c>
      <c r="B54" s="0" t="s">
        <v>5074</v>
      </c>
      <c r="C54" s="0" t="s">
        <v>5075</v>
      </c>
      <c r="D54" s="0" t="s">
        <v>5074</v>
      </c>
      <c r="E54" s="0" t="s">
        <v>5075</v>
      </c>
      <c r="F54" s="0" t="s">
        <v>4971</v>
      </c>
      <c r="G54" s="0" t="s">
        <v>1735</v>
      </c>
    </row>
    <row customHeight="1" ht="11.25">
      <c r="A55" s="0" t="s">
        <v>16</v>
      </c>
      <c r="B55" s="0" t="s">
        <v>5076</v>
      </c>
      <c r="C55" s="0" t="s">
        <v>5077</v>
      </c>
      <c r="D55" s="0" t="s">
        <v>5076</v>
      </c>
      <c r="E55" s="0" t="s">
        <v>5077</v>
      </c>
      <c r="F55" s="0" t="s">
        <v>4968</v>
      </c>
      <c r="G55" s="0" t="s">
        <v>1739</v>
      </c>
    </row>
    <row customHeight="1" ht="11.25">
      <c r="A56" s="0" t="s">
        <v>16</v>
      </c>
      <c r="B56" s="0" t="s">
        <v>5078</v>
      </c>
      <c r="C56" s="0" t="s">
        <v>5079</v>
      </c>
      <c r="D56" s="0" t="s">
        <v>5078</v>
      </c>
      <c r="E56" s="0" t="s">
        <v>5079</v>
      </c>
      <c r="F56" s="0" t="s">
        <v>4971</v>
      </c>
      <c r="G56" s="0" t="s">
        <v>1742</v>
      </c>
    </row>
    <row customHeight="1" ht="11.25">
      <c r="A57" s="0" t="s">
        <v>16</v>
      </c>
      <c r="B57" s="0" t="s">
        <v>5080</v>
      </c>
      <c r="C57" s="0" t="s">
        <v>5081</v>
      </c>
      <c r="D57" s="0" t="s">
        <v>5080</v>
      </c>
      <c r="E57" s="0" t="s">
        <v>5081</v>
      </c>
      <c r="F57" s="0" t="s">
        <v>4968</v>
      </c>
      <c r="G57" s="0" t="s">
        <v>1746</v>
      </c>
    </row>
    <row customHeight="1" ht="11.25">
      <c r="A58" s="0" t="s">
        <v>16</v>
      </c>
      <c r="B58" s="0" t="s">
        <v>5082</v>
      </c>
      <c r="C58" s="0" t="s">
        <v>5083</v>
      </c>
      <c r="D58" s="0" t="s">
        <v>5082</v>
      </c>
      <c r="E58" s="0" t="s">
        <v>5083</v>
      </c>
      <c r="F58" s="0" t="s">
        <v>4971</v>
      </c>
      <c r="G58" s="0" t="s">
        <v>1749</v>
      </c>
    </row>
    <row customHeight="1" ht="11.25">
      <c r="A59" s="0" t="s">
        <v>16</v>
      </c>
      <c r="B59" s="0" t="s">
        <v>5084</v>
      </c>
      <c r="C59" s="0" t="s">
        <v>5085</v>
      </c>
      <c r="D59" s="0" t="s">
        <v>5086</v>
      </c>
      <c r="E59" s="0" t="s">
        <v>5087</v>
      </c>
      <c r="F59" s="0" t="s">
        <v>5088</v>
      </c>
      <c r="G59" s="0" t="s">
        <v>1753</v>
      </c>
    </row>
    <row customHeight="1" ht="11.25">
      <c r="A60" s="0" t="s">
        <v>16</v>
      </c>
      <c r="B60" s="0" t="s">
        <v>5084</v>
      </c>
      <c r="C60" s="0" t="s">
        <v>5085</v>
      </c>
      <c r="D60" s="0" t="s">
        <v>5089</v>
      </c>
      <c r="E60" s="0" t="s">
        <v>5090</v>
      </c>
      <c r="F60" s="0" t="s">
        <v>4992</v>
      </c>
      <c r="G60" s="0" t="s">
        <v>1756</v>
      </c>
    </row>
    <row customHeight="1" ht="11.25">
      <c r="A61" s="0" t="s">
        <v>16</v>
      </c>
      <c r="B61" s="0" t="s">
        <v>5084</v>
      </c>
      <c r="C61" s="0" t="s">
        <v>5085</v>
      </c>
      <c r="D61" s="0" t="s">
        <v>5091</v>
      </c>
      <c r="E61" s="0" t="s">
        <v>5092</v>
      </c>
      <c r="F61" s="0" t="s">
        <v>5093</v>
      </c>
      <c r="G61" s="0" t="s">
        <v>5094</v>
      </c>
    </row>
    <row customHeight="1" ht="11.25">
      <c r="A62" s="0" t="s">
        <v>16</v>
      </c>
      <c r="B62" s="0" t="s">
        <v>5084</v>
      </c>
      <c r="C62" s="0" t="s">
        <v>5085</v>
      </c>
      <c r="D62" s="0" t="s">
        <v>5084</v>
      </c>
      <c r="E62" s="0" t="s">
        <v>5085</v>
      </c>
      <c r="F62" s="0" t="s">
        <v>4993</v>
      </c>
      <c r="G62" s="0" t="s">
        <v>5095</v>
      </c>
    </row>
    <row customHeight="1" ht="11.25">
      <c r="A63" s="0" t="s">
        <v>16</v>
      </c>
      <c r="B63" s="0" t="s">
        <v>5084</v>
      </c>
      <c r="C63" s="0" t="s">
        <v>5085</v>
      </c>
      <c r="D63" s="0" t="s">
        <v>5096</v>
      </c>
      <c r="E63" s="0" t="s">
        <v>5097</v>
      </c>
      <c r="F63" s="0" t="s">
        <v>5093</v>
      </c>
      <c r="G63" s="0" t="s">
        <v>5098</v>
      </c>
    </row>
    <row customHeight="1" ht="11.25">
      <c r="A64" s="0" t="s">
        <v>16</v>
      </c>
      <c r="B64" s="0" t="s">
        <v>5084</v>
      </c>
      <c r="C64" s="0" t="s">
        <v>5085</v>
      </c>
      <c r="D64" s="0" t="s">
        <v>5099</v>
      </c>
      <c r="E64" s="0" t="s">
        <v>5100</v>
      </c>
      <c r="F64" s="0" t="s">
        <v>5088</v>
      </c>
      <c r="G64" s="0" t="s">
        <v>5101</v>
      </c>
    </row>
    <row customHeight="1" ht="11.25">
      <c r="A65" s="0" t="s">
        <v>16</v>
      </c>
      <c r="B65" s="0" t="s">
        <v>5084</v>
      </c>
      <c r="C65" s="0" t="s">
        <v>5085</v>
      </c>
      <c r="D65" s="0" t="s">
        <v>5102</v>
      </c>
      <c r="E65" s="0" t="s">
        <v>5103</v>
      </c>
      <c r="F65" s="0" t="s">
        <v>5088</v>
      </c>
      <c r="G65" s="0" t="s">
        <v>5104</v>
      </c>
    </row>
    <row customHeight="1" ht="11.25">
      <c r="A66" s="0" t="s">
        <v>16</v>
      </c>
      <c r="B66" s="0" t="s">
        <v>5105</v>
      </c>
      <c r="C66" s="0" t="s">
        <v>5106</v>
      </c>
      <c r="D66" s="0" t="s">
        <v>5105</v>
      </c>
      <c r="E66" s="0" t="s">
        <v>5106</v>
      </c>
      <c r="F66" s="0" t="s">
        <v>4968</v>
      </c>
      <c r="G66" s="0" t="s">
        <v>5107</v>
      </c>
    </row>
    <row customHeight="1" ht="11.25">
      <c r="A67" s="0" t="s">
        <v>16</v>
      </c>
      <c r="B67" s="0" t="s">
        <v>5108</v>
      </c>
      <c r="C67" s="0" t="s">
        <v>5109</v>
      </c>
      <c r="D67" s="0" t="s">
        <v>5108</v>
      </c>
      <c r="E67" s="0" t="s">
        <v>5109</v>
      </c>
      <c r="F67" s="0" t="s">
        <v>4971</v>
      </c>
      <c r="G67" s="0" t="s">
        <v>2068</v>
      </c>
    </row>
    <row customHeight="1" ht="11.25">
      <c r="A68" s="0" t="s">
        <v>16</v>
      </c>
      <c r="B68" s="0" t="s">
        <v>5110</v>
      </c>
      <c r="C68" s="0" t="s">
        <v>5111</v>
      </c>
      <c r="D68" s="0" t="s">
        <v>5110</v>
      </c>
      <c r="E68" s="0" t="s">
        <v>5111</v>
      </c>
      <c r="F68" s="0" t="s">
        <v>4968</v>
      </c>
      <c r="G68" s="0" t="s">
        <v>5112</v>
      </c>
    </row>
    <row customHeight="1" ht="11.25">
      <c r="A69" s="0" t="s">
        <v>16</v>
      </c>
      <c r="B69" s="0" t="s">
        <v>5113</v>
      </c>
      <c r="C69" s="0" t="s">
        <v>5114</v>
      </c>
      <c r="D69" s="0" t="s">
        <v>5113</v>
      </c>
      <c r="E69" s="0" t="s">
        <v>5114</v>
      </c>
      <c r="F69" s="0" t="s">
        <v>4968</v>
      </c>
      <c r="G69" s="0" t="s">
        <v>2268</v>
      </c>
    </row>
    <row customHeight="1" ht="11.25">
      <c r="A70" s="0" t="s">
        <v>16</v>
      </c>
      <c r="B70" s="0" t="s">
        <v>5115</v>
      </c>
      <c r="C70" s="0" t="s">
        <v>5116</v>
      </c>
      <c r="D70" s="0" t="s">
        <v>5115</v>
      </c>
      <c r="E70" s="0" t="s">
        <v>5116</v>
      </c>
      <c r="F70" s="0" t="s">
        <v>4971</v>
      </c>
      <c r="G70" s="0" t="s">
        <v>5117</v>
      </c>
    </row>
    <row customHeight="1" ht="11.25">
      <c r="A71" s="0" t="s">
        <v>16</v>
      </c>
      <c r="B71" s="0" t="s">
        <v>5118</v>
      </c>
      <c r="C71" s="0" t="s">
        <v>5119</v>
      </c>
      <c r="D71" s="0" t="s">
        <v>5118</v>
      </c>
      <c r="E71" s="0" t="s">
        <v>5119</v>
      </c>
      <c r="F71" s="0" t="s">
        <v>4971</v>
      </c>
      <c r="G71" s="0" t="s">
        <v>5120</v>
      </c>
    </row>
    <row customHeight="1" ht="11.25">
      <c r="A72" s="0" t="s">
        <v>16</v>
      </c>
      <c r="B72" s="0" t="s">
        <v>5121</v>
      </c>
      <c r="C72" s="0" t="s">
        <v>5122</v>
      </c>
      <c r="D72" s="0" t="s">
        <v>5121</v>
      </c>
      <c r="E72" s="0" t="s">
        <v>5122</v>
      </c>
      <c r="F72" s="0" t="s">
        <v>4968</v>
      </c>
      <c r="G72" s="0" t="s">
        <v>5123</v>
      </c>
    </row>
    <row customHeight="1" ht="11.25">
      <c r="A73" s="0" t="s">
        <v>16</v>
      </c>
      <c r="B73" s="0" t="s">
        <v>5124</v>
      </c>
      <c r="C73" s="0" t="s">
        <v>5125</v>
      </c>
      <c r="D73" s="0" t="s">
        <v>5124</v>
      </c>
      <c r="E73" s="0" t="s">
        <v>5125</v>
      </c>
      <c r="F73" s="0" t="s">
        <v>4968</v>
      </c>
      <c r="G73" s="0" t="s">
        <v>5126</v>
      </c>
    </row>
    <row customHeight="1" ht="11.25">
      <c r="A74" s="0" t="s">
        <v>16</v>
      </c>
      <c r="B74" s="0" t="s">
        <v>5127</v>
      </c>
      <c r="C74" s="0" t="s">
        <v>5128</v>
      </c>
      <c r="D74" s="0" t="s">
        <v>5127</v>
      </c>
      <c r="E74" s="0" t="s">
        <v>5128</v>
      </c>
      <c r="F74" s="0" t="s">
        <v>4968</v>
      </c>
      <c r="G74" s="0" t="s">
        <v>5129</v>
      </c>
    </row>
    <row customHeight="1" ht="11.25">
      <c r="A75" s="0" t="s">
        <v>16</v>
      </c>
      <c r="B75" s="0" t="s">
        <v>5130</v>
      </c>
      <c r="C75" s="0" t="s">
        <v>5131</v>
      </c>
      <c r="D75" s="0" t="s">
        <v>5130</v>
      </c>
      <c r="E75" s="0" t="s">
        <v>5131</v>
      </c>
      <c r="F75" s="0" t="s">
        <v>4971</v>
      </c>
      <c r="G75" s="0" t="s">
        <v>5132</v>
      </c>
    </row>
    <row customHeight="1" ht="11.25">
      <c r="A76" s="0" t="s">
        <v>16</v>
      </c>
      <c r="B76" s="0" t="s">
        <v>5133</v>
      </c>
      <c r="C76" s="0" t="s">
        <v>5134</v>
      </c>
      <c r="D76" s="0" t="s">
        <v>5133</v>
      </c>
      <c r="E76" s="0" t="s">
        <v>5134</v>
      </c>
      <c r="F76" s="0" t="s">
        <v>4968</v>
      </c>
      <c r="G76" s="0" t="s">
        <v>5135</v>
      </c>
    </row>
    <row customHeight="1" ht="11.25">
      <c r="A77" s="0" t="s">
        <v>16</v>
      </c>
      <c r="B77" s="0" t="s">
        <v>5136</v>
      </c>
      <c r="C77" s="0" t="s">
        <v>5137</v>
      </c>
      <c r="D77" s="0" t="s">
        <v>5136</v>
      </c>
      <c r="E77" s="0" t="s">
        <v>5137</v>
      </c>
      <c r="F77" s="0" t="s">
        <v>4971</v>
      </c>
      <c r="G77" s="0" t="s">
        <v>5138</v>
      </c>
    </row>
    <row customHeight="1" ht="11.25">
      <c r="A78" s="0" t="s">
        <v>16</v>
      </c>
      <c r="B78" s="0" t="s">
        <v>5139</v>
      </c>
      <c r="C78" s="0" t="s">
        <v>5140</v>
      </c>
      <c r="D78" s="0" t="s">
        <v>5139</v>
      </c>
      <c r="E78" s="0" t="s">
        <v>5140</v>
      </c>
      <c r="F78" s="0" t="s">
        <v>4968</v>
      </c>
      <c r="G78" s="0" t="s">
        <v>5141</v>
      </c>
    </row>
    <row customHeight="1" ht="11.25">
      <c r="A79" s="0" t="s">
        <v>16</v>
      </c>
      <c r="B79" s="0" t="s">
        <v>5142</v>
      </c>
      <c r="C79" s="0" t="s">
        <v>5143</v>
      </c>
      <c r="D79" s="0" t="s">
        <v>5142</v>
      </c>
      <c r="E79" s="0" t="s">
        <v>5143</v>
      </c>
      <c r="F79" s="0" t="s">
        <v>4968</v>
      </c>
      <c r="G79" s="0" t="s">
        <v>5144</v>
      </c>
    </row>
    <row customHeight="1" ht="11.25">
      <c r="A80" s="0" t="s">
        <v>16</v>
      </c>
      <c r="B80" s="0" t="s">
        <v>5145</v>
      </c>
      <c r="C80" s="0" t="s">
        <v>5146</v>
      </c>
      <c r="D80" s="0" t="s">
        <v>5145</v>
      </c>
      <c r="E80" s="0" t="s">
        <v>5146</v>
      </c>
      <c r="F80" s="0" t="s">
        <v>4971</v>
      </c>
      <c r="G80" s="0" t="s">
        <v>5147</v>
      </c>
    </row>
    <row customHeight="1" ht="11.25">
      <c r="A81" s="0" t="s">
        <v>16</v>
      </c>
      <c r="B81" s="0" t="s">
        <v>5148</v>
      </c>
      <c r="C81" s="0" t="s">
        <v>5149</v>
      </c>
      <c r="D81" s="0" t="s">
        <v>5148</v>
      </c>
      <c r="E81" s="0" t="s">
        <v>5149</v>
      </c>
      <c r="F81" s="0" t="s">
        <v>4968</v>
      </c>
      <c r="G81" s="0" t="s">
        <v>5150</v>
      </c>
    </row>
    <row customHeight="1" ht="11.25">
      <c r="A82" s="0" t="s">
        <v>16</v>
      </c>
      <c r="B82" s="0" t="s">
        <v>5151</v>
      </c>
      <c r="C82" s="0" t="s">
        <v>5152</v>
      </c>
      <c r="D82" s="0" t="s">
        <v>5151</v>
      </c>
      <c r="E82" s="0" t="s">
        <v>5152</v>
      </c>
      <c r="F82" s="0" t="s">
        <v>4971</v>
      </c>
      <c r="G82" s="0" t="s">
        <v>5153</v>
      </c>
    </row>
    <row customHeight="1" ht="11.25">
      <c r="A83" s="0" t="s">
        <v>16</v>
      </c>
      <c r="B83" s="0" t="s">
        <v>100</v>
      </c>
      <c r="C83" s="0" t="s">
        <v>101</v>
      </c>
      <c r="D83" s="0" t="s">
        <v>100</v>
      </c>
      <c r="E83" s="0" t="s">
        <v>101</v>
      </c>
      <c r="F83" s="0" t="s">
        <v>4968</v>
      </c>
      <c r="G83" s="0" t="s">
        <v>99</v>
      </c>
    </row>
    <row customHeight="1" ht="11.25">
      <c r="A84" s="0" t="s">
        <v>16</v>
      </c>
      <c r="B84" s="0" t="s">
        <v>1016</v>
      </c>
      <c r="C84" s="0" t="s">
        <v>5154</v>
      </c>
      <c r="D84" s="0" t="s">
        <v>1016</v>
      </c>
      <c r="E84" s="0" t="s">
        <v>5154</v>
      </c>
      <c r="F84" s="0" t="s">
        <v>4971</v>
      </c>
      <c r="G84" s="0" t="s">
        <v>5155</v>
      </c>
    </row>
    <row customHeight="1" ht="11.25">
      <c r="A85" s="0" t="s">
        <v>16</v>
      </c>
      <c r="B85" s="0" t="s">
        <v>5156</v>
      </c>
      <c r="C85" s="0" t="s">
        <v>5157</v>
      </c>
      <c r="D85" s="0" t="s">
        <v>5158</v>
      </c>
      <c r="E85" s="0" t="s">
        <v>5159</v>
      </c>
      <c r="F85" s="0" t="s">
        <v>4992</v>
      </c>
      <c r="G85" s="0" t="s">
        <v>5160</v>
      </c>
    </row>
    <row customHeight="1" ht="11.25">
      <c r="A86" s="0" t="s">
        <v>16</v>
      </c>
      <c r="B86" s="0" t="s">
        <v>5156</v>
      </c>
      <c r="C86" s="0" t="s">
        <v>5157</v>
      </c>
      <c r="D86" s="0" t="s">
        <v>5161</v>
      </c>
      <c r="E86" s="0" t="s">
        <v>5162</v>
      </c>
      <c r="F86" s="0" t="s">
        <v>4992</v>
      </c>
      <c r="G86" s="0" t="s">
        <v>5163</v>
      </c>
    </row>
    <row customHeight="1" ht="11.25">
      <c r="A87" s="0" t="s">
        <v>16</v>
      </c>
      <c r="B87" s="0" t="s">
        <v>5156</v>
      </c>
      <c r="C87" s="0" t="s">
        <v>5157</v>
      </c>
      <c r="D87" s="0" t="s">
        <v>5156</v>
      </c>
      <c r="E87" s="0" t="s">
        <v>5157</v>
      </c>
      <c r="F87" s="0" t="s">
        <v>4993</v>
      </c>
      <c r="G87" s="0" t="s">
        <v>5164</v>
      </c>
    </row>
    <row customHeight="1" ht="11.25">
      <c r="A88" s="0" t="s">
        <v>16</v>
      </c>
      <c r="B88" s="0" t="s">
        <v>5156</v>
      </c>
      <c r="C88" s="0" t="s">
        <v>5157</v>
      </c>
      <c r="D88" s="0" t="s">
        <v>5165</v>
      </c>
      <c r="E88" s="0" t="s">
        <v>5166</v>
      </c>
      <c r="F88" s="0" t="s">
        <v>4992</v>
      </c>
      <c r="G88" s="0" t="s">
        <v>5167</v>
      </c>
    </row>
    <row customHeight="1" ht="11.25">
      <c r="A89" s="0" t="s">
        <v>16</v>
      </c>
      <c r="B89" s="0" t="s">
        <v>5156</v>
      </c>
      <c r="C89" s="0" t="s">
        <v>5157</v>
      </c>
      <c r="D89" s="0" t="s">
        <v>5168</v>
      </c>
      <c r="E89" s="0" t="s">
        <v>5169</v>
      </c>
      <c r="F89" s="0" t="s">
        <v>4992</v>
      </c>
      <c r="G89" s="0" t="s">
        <v>5170</v>
      </c>
    </row>
    <row customHeight="1" ht="11.25">
      <c r="A90" s="0" t="s">
        <v>16</v>
      </c>
      <c r="B90" s="0" t="s">
        <v>5171</v>
      </c>
      <c r="C90" s="0" t="s">
        <v>5172</v>
      </c>
      <c r="D90" s="0" t="s">
        <v>5171</v>
      </c>
      <c r="E90" s="0" t="s">
        <v>5172</v>
      </c>
      <c r="F90" s="0" t="s">
        <v>4968</v>
      </c>
      <c r="G90" s="0" t="s">
        <v>5173</v>
      </c>
    </row>
    <row customHeight="1" ht="11.25">
      <c r="A91" s="0" t="s">
        <v>16</v>
      </c>
      <c r="B91" s="0" t="s">
        <v>5174</v>
      </c>
      <c r="C91" s="0" t="s">
        <v>5175</v>
      </c>
      <c r="D91" s="0" t="s">
        <v>5174</v>
      </c>
      <c r="E91" s="0" t="s">
        <v>5175</v>
      </c>
      <c r="F91" s="0" t="s">
        <v>4971</v>
      </c>
      <c r="G91" s="0" t="s">
        <v>5176</v>
      </c>
    </row>
    <row customHeight="1" ht="11.25">
      <c r="A92" s="0" t="s">
        <v>16</v>
      </c>
      <c r="B92" s="0" t="s">
        <v>5177</v>
      </c>
      <c r="C92" s="0" t="s">
        <v>5178</v>
      </c>
      <c r="D92" s="0" t="s">
        <v>5177</v>
      </c>
      <c r="E92" s="0" t="s">
        <v>5178</v>
      </c>
      <c r="F92" s="0" t="s">
        <v>4968</v>
      </c>
      <c r="G92" s="0" t="s">
        <v>5179</v>
      </c>
    </row>
    <row customHeight="1" ht="11.25">
      <c r="A93" s="0" t="s">
        <v>16</v>
      </c>
      <c r="B93" s="0" t="s">
        <v>5180</v>
      </c>
      <c r="C93" s="0" t="s">
        <v>5181</v>
      </c>
      <c r="D93" s="0" t="s">
        <v>5180</v>
      </c>
      <c r="E93" s="0" t="s">
        <v>5181</v>
      </c>
      <c r="F93" s="0" t="s">
        <v>4968</v>
      </c>
      <c r="G93" s="0" t="s">
        <v>5182</v>
      </c>
    </row>
    <row customHeight="1" ht="11.25">
      <c r="A94" s="0" t="s">
        <v>16</v>
      </c>
      <c r="B94" s="0" t="s">
        <v>5183</v>
      </c>
      <c r="C94" s="0" t="s">
        <v>5184</v>
      </c>
      <c r="D94" s="0" t="s">
        <v>5183</v>
      </c>
      <c r="E94" s="0" t="s">
        <v>5184</v>
      </c>
      <c r="F94" s="0" t="s">
        <v>4968</v>
      </c>
      <c r="G94" s="0" t="s">
        <v>5185</v>
      </c>
    </row>
    <row customHeight="1" ht="11.25">
      <c r="A95" s="0" t="s">
        <v>16</v>
      </c>
      <c r="B95" s="0" t="s">
        <v>5186</v>
      </c>
      <c r="C95" s="0" t="s">
        <v>5187</v>
      </c>
      <c r="D95" s="0" t="s">
        <v>5186</v>
      </c>
      <c r="E95" s="0" t="s">
        <v>5187</v>
      </c>
      <c r="F95" s="0" t="s">
        <v>4968</v>
      </c>
      <c r="G95" s="0" t="s">
        <v>5188</v>
      </c>
    </row>
    <row customHeight="1" ht="11.25">
      <c r="A96" s="0" t="s">
        <v>16</v>
      </c>
      <c r="B96" s="0" t="s">
        <v>5189</v>
      </c>
      <c r="C96" s="0" t="s">
        <v>5190</v>
      </c>
      <c r="D96" s="0" t="s">
        <v>5189</v>
      </c>
      <c r="E96" s="0" t="s">
        <v>5190</v>
      </c>
      <c r="F96" s="0" t="s">
        <v>4971</v>
      </c>
      <c r="G96" s="0" t="s">
        <v>5191</v>
      </c>
    </row>
    <row customHeight="1" ht="11.25">
      <c r="A97" s="0" t="s">
        <v>16</v>
      </c>
      <c r="B97" s="0" t="s">
        <v>5192</v>
      </c>
      <c r="C97" s="0" t="s">
        <v>5193</v>
      </c>
      <c r="D97" s="0" t="s">
        <v>5194</v>
      </c>
      <c r="E97" s="0" t="s">
        <v>5195</v>
      </c>
      <c r="F97" s="0" t="s">
        <v>4992</v>
      </c>
      <c r="G97" s="0" t="s">
        <v>5196</v>
      </c>
    </row>
    <row customHeight="1" ht="11.25">
      <c r="A98" s="0" t="s">
        <v>16</v>
      </c>
      <c r="B98" s="0" t="s">
        <v>5192</v>
      </c>
      <c r="C98" s="0" t="s">
        <v>5193</v>
      </c>
      <c r="D98" s="0" t="s">
        <v>5197</v>
      </c>
      <c r="E98" s="0" t="s">
        <v>5198</v>
      </c>
      <c r="F98" s="0" t="s">
        <v>5199</v>
      </c>
      <c r="G98" s="0" t="s">
        <v>5200</v>
      </c>
    </row>
    <row customHeight="1" ht="11.25">
      <c r="A99" s="0" t="s">
        <v>16</v>
      </c>
      <c r="B99" s="0" t="s">
        <v>5192</v>
      </c>
      <c r="C99" s="0" t="s">
        <v>5193</v>
      </c>
      <c r="D99" s="0" t="s">
        <v>5192</v>
      </c>
      <c r="E99" s="0" t="s">
        <v>5193</v>
      </c>
      <c r="F99" s="0" t="s">
        <v>4993</v>
      </c>
      <c r="G99" s="0" t="s">
        <v>5201</v>
      </c>
    </row>
    <row customHeight="1" ht="11.25">
      <c r="A100" s="0" t="s">
        <v>16</v>
      </c>
      <c r="B100" s="0" t="s">
        <v>5192</v>
      </c>
      <c r="C100" s="0" t="s">
        <v>5193</v>
      </c>
      <c r="D100" s="0" t="s">
        <v>5202</v>
      </c>
      <c r="E100" s="0" t="s">
        <v>5203</v>
      </c>
      <c r="F100" s="0" t="s">
        <v>4992</v>
      </c>
      <c r="G100" s="0" t="s">
        <v>5204</v>
      </c>
    </row>
    <row customHeight="1" ht="11.25">
      <c r="A101" s="0" t="s">
        <v>16</v>
      </c>
      <c r="B101" s="0" t="s">
        <v>5192</v>
      </c>
      <c r="C101" s="0" t="s">
        <v>5193</v>
      </c>
      <c r="D101" s="0" t="s">
        <v>5205</v>
      </c>
      <c r="E101" s="0" t="s">
        <v>5206</v>
      </c>
      <c r="F101" s="0" t="s">
        <v>4992</v>
      </c>
      <c r="G101" s="0" t="s">
        <v>5207</v>
      </c>
    </row>
    <row customHeight="1" ht="11.25">
      <c r="A102" s="0" t="s">
        <v>16</v>
      </c>
      <c r="B102" s="0" t="s">
        <v>5208</v>
      </c>
      <c r="C102" s="0" t="s">
        <v>5209</v>
      </c>
      <c r="D102" s="0" t="s">
        <v>5208</v>
      </c>
      <c r="E102" s="0" t="s">
        <v>5209</v>
      </c>
      <c r="F102" s="0" t="s">
        <v>4968</v>
      </c>
      <c r="G102" s="0" t="s">
        <v>5210</v>
      </c>
    </row>
    <row customHeight="1" ht="11.25">
      <c r="A103" s="0" t="s">
        <v>16</v>
      </c>
      <c r="B103" s="0" t="s">
        <v>5211</v>
      </c>
      <c r="C103" s="0" t="s">
        <v>5212</v>
      </c>
      <c r="D103" s="0" t="s">
        <v>5211</v>
      </c>
      <c r="E103" s="0" t="s">
        <v>5212</v>
      </c>
      <c r="F103" s="0" t="s">
        <v>4971</v>
      </c>
      <c r="G103" s="0" t="s">
        <v>5213</v>
      </c>
    </row>
    <row customHeight="1" ht="11.25">
      <c r="A104" s="0" t="s">
        <v>16</v>
      </c>
      <c r="B104" s="0" t="s">
        <v>5214</v>
      </c>
      <c r="C104" s="0" t="s">
        <v>5215</v>
      </c>
      <c r="D104" s="0" t="s">
        <v>5214</v>
      </c>
      <c r="E104" s="0" t="s">
        <v>5215</v>
      </c>
      <c r="F104" s="0" t="s">
        <v>4968</v>
      </c>
      <c r="G104" s="0" t="s">
        <v>5216</v>
      </c>
    </row>
    <row customHeight="1" ht="11.25">
      <c r="A105" s="0" t="s">
        <v>16</v>
      </c>
      <c r="B105" s="0" t="s">
        <v>5217</v>
      </c>
      <c r="C105" s="0" t="s">
        <v>5218</v>
      </c>
      <c r="D105" s="0" t="s">
        <v>5217</v>
      </c>
      <c r="E105" s="0" t="s">
        <v>5218</v>
      </c>
      <c r="F105" s="0" t="s">
        <v>4971</v>
      </c>
      <c r="G105" s="0" t="s">
        <v>5219</v>
      </c>
    </row>
    <row customHeight="1" ht="11.25">
      <c r="A106" s="0" t="s">
        <v>16</v>
      </c>
      <c r="B106" s="0" t="s">
        <v>5220</v>
      </c>
      <c r="C106" s="0" t="s">
        <v>5221</v>
      </c>
      <c r="D106" s="0" t="s">
        <v>5220</v>
      </c>
      <c r="E106" s="0" t="s">
        <v>5221</v>
      </c>
      <c r="F106" s="0" t="s">
        <v>4968</v>
      </c>
      <c r="G106" s="0" t="s">
        <v>5222</v>
      </c>
    </row>
    <row customHeight="1" ht="11.25">
      <c r="A107" s="0" t="s">
        <v>16</v>
      </c>
      <c r="B107" s="0" t="s">
        <v>5223</v>
      </c>
      <c r="C107" s="0" t="s">
        <v>5224</v>
      </c>
      <c r="D107" s="0" t="s">
        <v>5223</v>
      </c>
      <c r="E107" s="0" t="s">
        <v>5224</v>
      </c>
      <c r="F107" s="0" t="s">
        <v>4971</v>
      </c>
      <c r="G107" s="0" t="s">
        <v>5225</v>
      </c>
    </row>
    <row customHeight="1" ht="11.25">
      <c r="A108" s="0" t="s">
        <v>16</v>
      </c>
      <c r="B108" s="0" t="s">
        <v>5226</v>
      </c>
      <c r="C108" s="0" t="s">
        <v>5227</v>
      </c>
      <c r="D108" s="0" t="s">
        <v>5226</v>
      </c>
      <c r="E108" s="0" t="s">
        <v>5227</v>
      </c>
      <c r="F108" s="0" t="s">
        <v>4968</v>
      </c>
      <c r="G108" s="0" t="s">
        <v>5228</v>
      </c>
    </row>
    <row customHeight="1" ht="11.25">
      <c r="A109" s="0" t="s">
        <v>16</v>
      </c>
      <c r="B109" s="0" t="s">
        <v>5229</v>
      </c>
      <c r="C109" s="0" t="s">
        <v>5230</v>
      </c>
      <c r="D109" s="0" t="s">
        <v>5229</v>
      </c>
      <c r="E109" s="0" t="s">
        <v>5230</v>
      </c>
      <c r="F109" s="0" t="s">
        <v>4971</v>
      </c>
      <c r="G109" s="0" t="s">
        <v>5231</v>
      </c>
    </row>
    <row customHeight="1" ht="11.25">
      <c r="A110" s="0" t="s">
        <v>16</v>
      </c>
      <c r="B110" s="0" t="s">
        <v>5232</v>
      </c>
      <c r="C110" s="0" t="s">
        <v>5233</v>
      </c>
      <c r="D110" s="0" t="s">
        <v>5232</v>
      </c>
      <c r="E110" s="0" t="s">
        <v>5233</v>
      </c>
      <c r="F110" s="0" t="s">
        <v>4968</v>
      </c>
      <c r="G110" s="0" t="s">
        <v>5234</v>
      </c>
    </row>
    <row customHeight="1" ht="11.25">
      <c r="A111" s="0" t="s">
        <v>16</v>
      </c>
      <c r="B111" s="0" t="s">
        <v>5235</v>
      </c>
      <c r="C111" s="0" t="s">
        <v>5236</v>
      </c>
      <c r="D111" s="0" t="s">
        <v>5235</v>
      </c>
      <c r="E111" s="0" t="s">
        <v>5236</v>
      </c>
      <c r="F111" s="0" t="s">
        <v>4971</v>
      </c>
      <c r="G111" s="0" t="s">
        <v>5237</v>
      </c>
    </row>
    <row customHeight="1" ht="11.25">
      <c r="A112" s="0" t="s">
        <v>16</v>
      </c>
      <c r="B112" s="0" t="s">
        <v>5238</v>
      </c>
      <c r="C112" s="0" t="s">
        <v>5239</v>
      </c>
      <c r="D112" s="0" t="s">
        <v>5238</v>
      </c>
      <c r="E112" s="0" t="s">
        <v>5239</v>
      </c>
      <c r="F112" s="0" t="s">
        <v>4968</v>
      </c>
      <c r="G112" s="0" t="s">
        <v>5240</v>
      </c>
    </row>
    <row customHeight="1" ht="11.25">
      <c r="A113" s="0" t="s">
        <v>16</v>
      </c>
      <c r="B113" s="0" t="s">
        <v>5241</v>
      </c>
      <c r="C113" s="0" t="s">
        <v>5242</v>
      </c>
      <c r="D113" s="0" t="s">
        <v>5241</v>
      </c>
      <c r="E113" s="0" t="s">
        <v>5242</v>
      </c>
      <c r="F113" s="0" t="s">
        <v>4971</v>
      </c>
      <c r="G113" s="0" t="s">
        <v>5243</v>
      </c>
    </row>
    <row customHeight="1" ht="11.25">
      <c r="A114" s="0" t="s">
        <v>16</v>
      </c>
      <c r="B114" s="0" t="s">
        <v>5244</v>
      </c>
      <c r="C114" s="0" t="s">
        <v>5245</v>
      </c>
      <c r="D114" s="0" t="s">
        <v>5244</v>
      </c>
      <c r="E114" s="0" t="s">
        <v>5245</v>
      </c>
      <c r="F114" s="0" t="s">
        <v>4968</v>
      </c>
      <c r="G114" s="0" t="s">
        <v>5246</v>
      </c>
    </row>
    <row customHeight="1" ht="11.25">
      <c r="A115" s="0" t="s">
        <v>16</v>
      </c>
      <c r="B115" s="0" t="s">
        <v>5244</v>
      </c>
      <c r="C115" s="0" t="s">
        <v>5247</v>
      </c>
      <c r="D115" s="0" t="s">
        <v>5244</v>
      </c>
      <c r="E115" s="0" t="s">
        <v>5247</v>
      </c>
      <c r="F115" s="0" t="s">
        <v>4971</v>
      </c>
      <c r="G115" s="0" t="s">
        <v>5248</v>
      </c>
    </row>
    <row customHeight="1" ht="11.25">
      <c r="A116" s="0" t="s">
        <v>16</v>
      </c>
      <c r="B116" s="0" t="s">
        <v>5249</v>
      </c>
      <c r="C116" s="0" t="s">
        <v>5250</v>
      </c>
      <c r="D116" s="0" t="s">
        <v>5249</v>
      </c>
      <c r="E116" s="0" t="s">
        <v>5250</v>
      </c>
      <c r="F116" s="0" t="s">
        <v>4971</v>
      </c>
      <c r="G116" s="0" t="s">
        <v>5251</v>
      </c>
    </row>
    <row customHeight="1" ht="11.25">
      <c r="A117" s="0" t="s">
        <v>16</v>
      </c>
      <c r="B117" s="0" t="s">
        <v>5252</v>
      </c>
      <c r="C117" s="0" t="s">
        <v>5253</v>
      </c>
      <c r="D117" s="0" t="s">
        <v>5252</v>
      </c>
      <c r="E117" s="0" t="s">
        <v>5253</v>
      </c>
      <c r="F117" s="0" t="s">
        <v>4971</v>
      </c>
      <c r="G117" s="0" t="s">
        <v>5254</v>
      </c>
    </row>
    <row customHeight="1" ht="11.25">
      <c r="A118" s="0" t="s">
        <v>16</v>
      </c>
      <c r="B118" s="0" t="s">
        <v>5255</v>
      </c>
      <c r="C118" s="0" t="s">
        <v>5256</v>
      </c>
      <c r="D118" s="0" t="s">
        <v>5255</v>
      </c>
      <c r="E118" s="0" t="s">
        <v>5256</v>
      </c>
      <c r="F118" s="0" t="s">
        <v>4971</v>
      </c>
      <c r="G118" s="0" t="s">
        <v>5257</v>
      </c>
    </row>
    <row customHeight="1" ht="11.25">
      <c r="A119" s="0" t="s">
        <v>16</v>
      </c>
      <c r="B119" s="0" t="s">
        <v>5258</v>
      </c>
      <c r="C119" s="0" t="s">
        <v>5259</v>
      </c>
      <c r="D119" s="0" t="s">
        <v>5258</v>
      </c>
      <c r="E119" s="0" t="s">
        <v>5259</v>
      </c>
      <c r="F119" s="0" t="s">
        <v>4971</v>
      </c>
      <c r="G119" s="0" t="s">
        <v>5260</v>
      </c>
    </row>
    <row customHeight="1" ht="11.25">
      <c r="A120" s="0" t="s">
        <v>16</v>
      </c>
      <c r="B120" s="0" t="s">
        <v>5261</v>
      </c>
      <c r="C120" s="0" t="s">
        <v>5262</v>
      </c>
      <c r="D120" s="0" t="s">
        <v>5261</v>
      </c>
      <c r="E120" s="0" t="s">
        <v>5262</v>
      </c>
      <c r="F120" s="0" t="s">
        <v>4971</v>
      </c>
      <c r="G120" s="0" t="s">
        <v>5263</v>
      </c>
    </row>
    <row customHeight="1" ht="11.25">
      <c r="A121" s="0" t="s">
        <v>16</v>
      </c>
      <c r="B121" s="0" t="s">
        <v>5264</v>
      </c>
      <c r="C121" s="0" t="s">
        <v>5265</v>
      </c>
      <c r="D121" s="0" t="s">
        <v>5264</v>
      </c>
      <c r="E121" s="0" t="s">
        <v>5265</v>
      </c>
      <c r="F121" s="0" t="s">
        <v>4971</v>
      </c>
      <c r="G121" s="0" t="s">
        <v>5266</v>
      </c>
    </row>
    <row customHeight="1" ht="11.25">
      <c r="A122" s="0" t="s">
        <v>16</v>
      </c>
      <c r="B122" s="0" t="s">
        <v>5267</v>
      </c>
      <c r="C122" s="0" t="s">
        <v>5268</v>
      </c>
      <c r="D122" s="0" t="s">
        <v>5267</v>
      </c>
      <c r="E122" s="0" t="s">
        <v>5268</v>
      </c>
      <c r="F122" s="0" t="s">
        <v>4971</v>
      </c>
      <c r="G122" s="0" t="s">
        <v>5269</v>
      </c>
    </row>
    <row customHeight="1" ht="11.25">
      <c r="A123" s="0" t="s">
        <v>16</v>
      </c>
      <c r="B123" s="0" t="s">
        <v>5270</v>
      </c>
      <c r="C123" s="0" t="s">
        <v>5271</v>
      </c>
      <c r="D123" s="0" t="s">
        <v>5270</v>
      </c>
      <c r="E123" s="0" t="s">
        <v>5271</v>
      </c>
      <c r="F123" s="0" t="s">
        <v>4971</v>
      </c>
      <c r="G123" s="0" t="s">
        <v>5272</v>
      </c>
    </row>
    <row customHeight="1" ht="11.25">
      <c r="A124" s="0" t="s">
        <v>16</v>
      </c>
      <c r="B124" s="0" t="s">
        <v>5273</v>
      </c>
      <c r="C124" s="0" t="s">
        <v>5274</v>
      </c>
      <c r="D124" s="0" t="s">
        <v>5273</v>
      </c>
      <c r="E124" s="0" t="s">
        <v>5274</v>
      </c>
      <c r="F124" s="0" t="s">
        <v>4971</v>
      </c>
      <c r="G124" s="0" t="s">
        <v>5275</v>
      </c>
    </row>
    <row customHeight="1" ht="11.25">
      <c r="A125" s="0" t="s">
        <v>16</v>
      </c>
      <c r="B125" s="0" t="s">
        <v>5276</v>
      </c>
      <c r="C125" s="0" t="s">
        <v>5277</v>
      </c>
      <c r="D125" s="0" t="s">
        <v>5276</v>
      </c>
      <c r="E125" s="0" t="s">
        <v>5277</v>
      </c>
      <c r="F125" s="0" t="s">
        <v>4971</v>
      </c>
      <c r="G125" s="0" t="s">
        <v>5278</v>
      </c>
    </row>
    <row customHeight="1" ht="11.25">
      <c r="A126" s="0" t="s">
        <v>16</v>
      </c>
      <c r="B126" s="0" t="s">
        <v>5279</v>
      </c>
      <c r="C126" s="0" t="s">
        <v>5280</v>
      </c>
      <c r="D126" s="0" t="s">
        <v>5279</v>
      </c>
      <c r="E126" s="0" t="s">
        <v>5280</v>
      </c>
      <c r="F126" s="0" t="s">
        <v>4971</v>
      </c>
      <c r="G126" s="0" t="s">
        <v>5281</v>
      </c>
    </row>
    <row customHeight="1" ht="11.25">
      <c r="A127" s="0" t="s">
        <v>16</v>
      </c>
      <c r="B127" s="0" t="s">
        <v>5282</v>
      </c>
      <c r="C127" s="0" t="s">
        <v>5283</v>
      </c>
      <c r="D127" s="0" t="s">
        <v>5282</v>
      </c>
      <c r="E127" s="0" t="s">
        <v>5283</v>
      </c>
      <c r="F127" s="0" t="s">
        <v>4971</v>
      </c>
      <c r="G127" s="0" t="s">
        <v>5284</v>
      </c>
    </row>
    <row customHeight="1" ht="11.25">
      <c r="A128" s="0" t="s">
        <v>16</v>
      </c>
      <c r="B128" s="0" t="s">
        <v>5285</v>
      </c>
      <c r="C128" s="0" t="s">
        <v>5286</v>
      </c>
      <c r="D128" s="0" t="s">
        <v>5285</v>
      </c>
      <c r="E128" s="0" t="s">
        <v>5286</v>
      </c>
      <c r="F128" s="0" t="s">
        <v>4971</v>
      </c>
      <c r="G128" s="0" t="s">
        <v>5287</v>
      </c>
    </row>
    <row customHeight="1" ht="11.25">
      <c r="A129" s="0" t="s">
        <v>16</v>
      </c>
      <c r="B129" s="0" t="s">
        <v>5288</v>
      </c>
      <c r="C129" s="0" t="s">
        <v>5289</v>
      </c>
      <c r="D129" s="0" t="s">
        <v>5288</v>
      </c>
      <c r="E129" s="0" t="s">
        <v>5289</v>
      </c>
      <c r="F129" s="0" t="s">
        <v>4971</v>
      </c>
      <c r="G129" s="0" t="s">
        <v>5290</v>
      </c>
    </row>
    <row customHeight="1" ht="11.25">
      <c r="A130" s="0" t="s">
        <v>16</v>
      </c>
      <c r="B130" s="0" t="s">
        <v>5291</v>
      </c>
      <c r="C130" s="0" t="s">
        <v>5292</v>
      </c>
      <c r="D130" s="0" t="s">
        <v>5291</v>
      </c>
      <c r="E130" s="0" t="s">
        <v>5292</v>
      </c>
      <c r="F130" s="0" t="s">
        <v>4971</v>
      </c>
      <c r="G130" s="0" t="s">
        <v>5293</v>
      </c>
    </row>
    <row customHeight="1" ht="11.25">
      <c r="A131" s="0" t="s">
        <v>16</v>
      </c>
      <c r="B131" s="0" t="s">
        <v>5294</v>
      </c>
      <c r="C131" s="0" t="s">
        <v>5295</v>
      </c>
      <c r="D131" s="0" t="s">
        <v>5294</v>
      </c>
      <c r="E131" s="0" t="s">
        <v>5295</v>
      </c>
      <c r="F131" s="0" t="s">
        <v>4971</v>
      </c>
      <c r="G131" s="0" t="s">
        <v>5296</v>
      </c>
    </row>
    <row customHeight="1" ht="11.25">
      <c r="A132" s="0" t="s">
        <v>16</v>
      </c>
      <c r="B132" s="0" t="s">
        <v>5297</v>
      </c>
      <c r="C132" s="0" t="s">
        <v>5298</v>
      </c>
      <c r="D132" s="0" t="s">
        <v>5297</v>
      </c>
      <c r="E132" s="0" t="s">
        <v>5298</v>
      </c>
      <c r="F132" s="0" t="s">
        <v>4971</v>
      </c>
      <c r="G132" s="0" t="s">
        <v>5299</v>
      </c>
    </row>
    <row customHeight="1" ht="11.25">
      <c r="A133" s="0" t="s">
        <v>16</v>
      </c>
      <c r="B133" s="0" t="s">
        <v>5300</v>
      </c>
      <c r="C133" s="0" t="s">
        <v>5301</v>
      </c>
      <c r="D133" s="0" t="s">
        <v>5300</v>
      </c>
      <c r="E133" s="0" t="s">
        <v>5301</v>
      </c>
      <c r="F133" s="0" t="s">
        <v>4971</v>
      </c>
      <c r="G133" s="0" t="s">
        <v>5302</v>
      </c>
    </row>
    <row customHeight="1" ht="11.25">
      <c r="A134" s="0" t="s">
        <v>16</v>
      </c>
      <c r="B134" s="0" t="s">
        <v>5303</v>
      </c>
      <c r="C134" s="0" t="s">
        <v>5304</v>
      </c>
      <c r="D134" s="0" t="s">
        <v>5303</v>
      </c>
      <c r="E134" s="0" t="s">
        <v>5304</v>
      </c>
      <c r="F134" s="0" t="s">
        <v>4971</v>
      </c>
      <c r="G134" s="0" t="s">
        <v>5305</v>
      </c>
    </row>
    <row customHeight="1" ht="11.25">
      <c r="A135" s="0" t="s">
        <v>16</v>
      </c>
      <c r="B135" s="0" t="s">
        <v>5306</v>
      </c>
      <c r="C135" s="0" t="s">
        <v>5307</v>
      </c>
      <c r="D135" s="0" t="s">
        <v>5306</v>
      </c>
      <c r="E135" s="0" t="s">
        <v>5307</v>
      </c>
      <c r="F135" s="0" t="s">
        <v>4971</v>
      </c>
      <c r="G135" s="0" t="s">
        <v>5308</v>
      </c>
    </row>
    <row customHeight="1" ht="11.25">
      <c r="A136" s="0" t="s">
        <v>16</v>
      </c>
      <c r="B136" s="0" t="s">
        <v>5309</v>
      </c>
      <c r="C136" s="0" t="s">
        <v>5310</v>
      </c>
      <c r="D136" s="0" t="s">
        <v>5309</v>
      </c>
      <c r="E136" s="0" t="s">
        <v>5310</v>
      </c>
      <c r="F136" s="0" t="s">
        <v>4971</v>
      </c>
      <c r="G136" s="0" t="s">
        <v>5311</v>
      </c>
    </row>
    <row customHeight="1" ht="11.25">
      <c r="A137" s="0" t="s">
        <v>16</v>
      </c>
      <c r="B137" s="0" t="s">
        <v>5312</v>
      </c>
      <c r="C137" s="0" t="s">
        <v>5313</v>
      </c>
      <c r="D137" s="0" t="s">
        <v>5312</v>
      </c>
      <c r="E137" s="0" t="s">
        <v>5313</v>
      </c>
      <c r="F137" s="0" t="s">
        <v>4971</v>
      </c>
      <c r="G137" s="0" t="s">
        <v>5314</v>
      </c>
    </row>
    <row customHeight="1" ht="11.25">
      <c r="A138" s="0" t="s">
        <v>16</v>
      </c>
      <c r="B138" s="0" t="s">
        <v>5315</v>
      </c>
      <c r="C138" s="0" t="s">
        <v>5316</v>
      </c>
      <c r="D138" s="0" t="s">
        <v>5315</v>
      </c>
      <c r="E138" s="0" t="s">
        <v>5316</v>
      </c>
      <c r="F138" s="0" t="s">
        <v>4971</v>
      </c>
      <c r="G138" s="0" t="s">
        <v>5317</v>
      </c>
    </row>
    <row customHeight="1" ht="11.25">
      <c r="A139" s="0" t="s">
        <v>16</v>
      </c>
      <c r="B139" s="0" t="s">
        <v>5318</v>
      </c>
      <c r="C139" s="0" t="s">
        <v>5319</v>
      </c>
      <c r="D139" s="0" t="s">
        <v>5318</v>
      </c>
      <c r="E139" s="0" t="s">
        <v>5319</v>
      </c>
      <c r="F139" s="0" t="s">
        <v>4971</v>
      </c>
      <c r="G139" s="0" t="s">
        <v>5320</v>
      </c>
    </row>
    <row customHeight="1" ht="11.25">
      <c r="A140" s="0" t="s">
        <v>16</v>
      </c>
      <c r="B140" s="0" t="s">
        <v>5321</v>
      </c>
      <c r="C140" s="0" t="s">
        <v>5322</v>
      </c>
      <c r="D140" s="0" t="s">
        <v>5323</v>
      </c>
      <c r="E140" s="0" t="s">
        <v>5324</v>
      </c>
      <c r="F140" s="0" t="s">
        <v>4992</v>
      </c>
      <c r="G140" s="0" t="s">
        <v>5325</v>
      </c>
    </row>
    <row customHeight="1" ht="11.25">
      <c r="A141" s="0" t="s">
        <v>16</v>
      </c>
      <c r="B141" s="0" t="s">
        <v>5321</v>
      </c>
      <c r="C141" s="0" t="s">
        <v>5322</v>
      </c>
      <c r="D141" s="0" t="s">
        <v>5326</v>
      </c>
      <c r="E141" s="0" t="s">
        <v>5327</v>
      </c>
      <c r="F141" s="0" t="s">
        <v>4992</v>
      </c>
      <c r="G141" s="0" t="s">
        <v>5328</v>
      </c>
    </row>
    <row customHeight="1" ht="11.25">
      <c r="A142" s="0" t="s">
        <v>16</v>
      </c>
      <c r="B142" s="0" t="s">
        <v>5321</v>
      </c>
      <c r="C142" s="0" t="s">
        <v>5322</v>
      </c>
      <c r="D142" s="0" t="s">
        <v>5329</v>
      </c>
      <c r="E142" s="0" t="s">
        <v>5330</v>
      </c>
      <c r="F142" s="0" t="s">
        <v>4992</v>
      </c>
      <c r="G142" s="0" t="s">
        <v>5331</v>
      </c>
    </row>
    <row customHeight="1" ht="11.25">
      <c r="A143" s="0" t="s">
        <v>16</v>
      </c>
      <c r="B143" s="0" t="s">
        <v>5321</v>
      </c>
      <c r="C143" s="0" t="s">
        <v>5322</v>
      </c>
      <c r="D143" s="0" t="s">
        <v>5332</v>
      </c>
      <c r="E143" s="0" t="s">
        <v>5333</v>
      </c>
      <c r="F143" s="0" t="s">
        <v>4992</v>
      </c>
      <c r="G143" s="0" t="s">
        <v>5334</v>
      </c>
    </row>
    <row customHeight="1" ht="11.25">
      <c r="A144" s="0" t="s">
        <v>16</v>
      </c>
      <c r="B144" s="0" t="s">
        <v>5321</v>
      </c>
      <c r="C144" s="0" t="s">
        <v>5322</v>
      </c>
      <c r="D144" s="0" t="s">
        <v>5335</v>
      </c>
      <c r="E144" s="0" t="s">
        <v>5336</v>
      </c>
      <c r="F144" s="0" t="s">
        <v>4992</v>
      </c>
      <c r="G144" s="0" t="s">
        <v>5337</v>
      </c>
    </row>
    <row customHeight="1" ht="11.25">
      <c r="A145" s="0" t="s">
        <v>16</v>
      </c>
      <c r="B145" s="0" t="s">
        <v>5321</v>
      </c>
      <c r="C145" s="0" t="s">
        <v>5322</v>
      </c>
      <c r="D145" s="0" t="s">
        <v>5321</v>
      </c>
      <c r="E145" s="0" t="s">
        <v>5322</v>
      </c>
      <c r="F145" s="0" t="s">
        <v>4993</v>
      </c>
      <c r="G145" s="0" t="s">
        <v>5338</v>
      </c>
    </row>
    <row customHeight="1" ht="11.25">
      <c r="A146" s="0" t="s">
        <v>16</v>
      </c>
      <c r="B146" s="0" t="s">
        <v>5339</v>
      </c>
      <c r="C146" s="0" t="s">
        <v>5340</v>
      </c>
      <c r="D146" s="0" t="s">
        <v>5339</v>
      </c>
      <c r="E146" s="0" t="s">
        <v>5340</v>
      </c>
      <c r="F146" s="0" t="s">
        <v>4971</v>
      </c>
      <c r="G146" s="0" t="s">
        <v>5341</v>
      </c>
    </row>
    <row customHeight="1" ht="11.25">
      <c r="A147" s="0" t="s">
        <v>16</v>
      </c>
      <c r="B147" s="0" t="s">
        <v>5342</v>
      </c>
      <c r="C147" s="0" t="s">
        <v>5343</v>
      </c>
      <c r="D147" s="0" t="s">
        <v>5342</v>
      </c>
      <c r="E147" s="0" t="s">
        <v>5343</v>
      </c>
      <c r="F147" s="0" t="s">
        <v>4971</v>
      </c>
      <c r="G147" s="0" t="s">
        <v>5344</v>
      </c>
    </row>
    <row customHeight="1" ht="11.25">
      <c r="A148" s="0" t="s">
        <v>16</v>
      </c>
      <c r="B148" s="0" t="s">
        <v>5345</v>
      </c>
      <c r="C148" s="0" t="s">
        <v>5346</v>
      </c>
      <c r="D148" s="0" t="s">
        <v>5345</v>
      </c>
      <c r="E148" s="0" t="s">
        <v>5346</v>
      </c>
      <c r="F148" s="0" t="s">
        <v>4971</v>
      </c>
      <c r="G148" s="0" t="s">
        <v>5347</v>
      </c>
    </row>
    <row customHeight="1" ht="11.25">
      <c r="A149" s="0" t="s">
        <v>16</v>
      </c>
      <c r="B149" s="0" t="s">
        <v>5348</v>
      </c>
      <c r="C149" s="0" t="s">
        <v>5349</v>
      </c>
      <c r="D149" s="0" t="s">
        <v>5348</v>
      </c>
      <c r="E149" s="0" t="s">
        <v>5349</v>
      </c>
      <c r="F149" s="0" t="s">
        <v>4971</v>
      </c>
      <c r="G149" s="0" t="s">
        <v>5350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D0157-0D91-F1EE-6C2B-069CCA180F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5385</v>
      </c>
      <c r="B1" s="842" t="s">
        <v>5386</v>
      </c>
      <c r="C1" s="842" t="s">
        <v>1215</v>
      </c>
    </row>
    <row customHeight="1" ht="11.25">
      <c r="A2" s="842">
        <v>4189678</v>
      </c>
      <c r="B2" s="842" t="s">
        <v>5387</v>
      </c>
      <c r="C2" s="842" t="s">
        <v>5388</v>
      </c>
    </row>
    <row customHeight="1" ht="11.25">
      <c r="A3" s="842">
        <v>4190415</v>
      </c>
      <c r="B3" s="842" t="s">
        <v>5389</v>
      </c>
      <c r="C3" s="842" t="s">
        <v>5388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77EDC-4DD1-EA23-4A5C-F0045FAE7A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5390</v>
      </c>
      <c r="B1" s="170" t="s">
        <v>5391</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DEFFD-32FC-6646-01C2-75C8C08B345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5392</v>
      </c>
      <c r="B1" s="0" t="b">
        <v>1</v>
      </c>
    </row>
    <row customHeight="1" ht="11.25">
      <c r="A2" s="0" t="s">
        <v>5393</v>
      </c>
      <c r="B2" s="0" t="b">
        <v>0</v>
      </c>
    </row>
    <row customHeight="1" ht="11.25">
      <c r="A3" s="0" t="s">
        <v>5394</v>
      </c>
      <c r="B3" s="0" t="b">
        <v>0</v>
      </c>
    </row>
    <row customHeight="1" ht="11.25">
      <c r="A4" s="0" t="s">
        <v>5395</v>
      </c>
      <c r="B4" s="0" t="b">
        <v>0</v>
      </c>
    </row>
    <row customHeight="1" ht="11.25">
      <c r="A5" s="0" t="s">
        <v>5396</v>
      </c>
      <c r="B5" s="0" t="b">
        <v>1</v>
      </c>
    </row>
    <row customHeight="1" ht="11.25">
      <c r="A6" s="0" t="s">
        <v>5397</v>
      </c>
      <c r="B6" s="0" t="b">
        <v>0</v>
      </c>
    </row>
    <row customHeight="1" ht="11.25">
      <c r="A7" s="0" t="s">
        <v>5398</v>
      </c>
      <c r="B7" s="0" t="b">
        <v>0</v>
      </c>
    </row>
    <row customHeight="1" ht="11.25">
      <c r="A8" s="0" t="s">
        <v>5399</v>
      </c>
      <c r="B8" s="0" t="b">
        <v>0</v>
      </c>
    </row>
    <row customHeight="1" ht="11.25">
      <c r="A9" s="0" t="s">
        <v>5400</v>
      </c>
      <c r="B9" s="0" t="b">
        <v>0</v>
      </c>
    </row>
    <row customHeight="1" ht="11.25">
      <c r="A10" s="0" t="s">
        <v>5401</v>
      </c>
      <c r="B10" s="0" t="b">
        <v>1</v>
      </c>
    </row>
    <row customHeight="1" ht="11.25">
      <c r="A11" s="0" t="s">
        <v>5402</v>
      </c>
      <c r="B11" s="0" t="b">
        <v>0</v>
      </c>
    </row>
    <row customHeight="1" ht="11.25">
      <c r="A12" s="0" t="s">
        <v>5403</v>
      </c>
      <c r="B12" s="0" t="b">
        <v>0</v>
      </c>
    </row>
    <row customHeight="1" ht="11.25">
      <c r="A13" s="0" t="s">
        <v>5404</v>
      </c>
      <c r="B13" s="0" t="b">
        <v>0</v>
      </c>
    </row>
    <row customHeight="1" ht="11.25">
      <c r="A14" s="0" t="s">
        <v>5405</v>
      </c>
      <c r="B14" s="0" t="b">
        <v>0</v>
      </c>
    </row>
    <row customHeight="1" ht="11.25">
      <c r="A15" s="0" t="s">
        <v>5406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2C9BA-6F0E-6064-CBD9-ECA4E20BD5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BC30B-C7E1-813E-B34B-F1C1A661F11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5407</v>
      </c>
      <c r="B1" s="74" t="s">
        <v>5408</v>
      </c>
    </row>
    <row customHeight="1" ht="11.25">
      <c r="A2" s="71" t="s">
        <v>5409</v>
      </c>
      <c r="B2" s="71" t="s">
        <v>5410</v>
      </c>
    </row>
    <row customHeight="1" ht="11.25">
      <c r="A3" s="71" t="s">
        <v>5411</v>
      </c>
      <c r="B3" s="71" t="s">
        <v>5412</v>
      </c>
    </row>
    <row customHeight="1" ht="11.25">
      <c r="A4" s="71" t="s">
        <v>5413</v>
      </c>
      <c r="B4" s="71" t="s">
        <v>5414</v>
      </c>
    </row>
    <row customHeight="1" ht="11.25">
      <c r="A5" s="71" t="s">
        <v>5415</v>
      </c>
      <c r="B5" s="71" t="s">
        <v>5416</v>
      </c>
    </row>
    <row customHeight="1" ht="11.25">
      <c r="A6" s="71" t="s">
        <v>5417</v>
      </c>
      <c r="B6" s="71" t="s">
        <v>5418</v>
      </c>
    </row>
    <row customHeight="1" ht="11.25">
      <c r="A7" s="71" t="s">
        <v>5419</v>
      </c>
      <c r="B7" s="71" t="s">
        <v>5420</v>
      </c>
    </row>
    <row customHeight="1" ht="11.25">
      <c r="A8" s="71" t="s">
        <v>5421</v>
      </c>
      <c r="B8" s="71" t="s">
        <v>5422</v>
      </c>
    </row>
    <row customHeight="1" ht="11.25">
      <c r="A9" s="71" t="s">
        <v>5423</v>
      </c>
      <c r="B9" s="71" t="s">
        <v>5424</v>
      </c>
    </row>
    <row customHeight="1" ht="11.25">
      <c r="A10" s="71" t="s">
        <v>5425</v>
      </c>
      <c r="B10" s="71" t="s">
        <v>5426</v>
      </c>
    </row>
    <row customHeight="1" ht="11.25">
      <c r="A11" s="71" t="s">
        <v>5427</v>
      </c>
      <c r="B11" s="71" t="s">
        <v>5428</v>
      </c>
    </row>
    <row customHeight="1" ht="11.25">
      <c r="A12" s="71" t="s">
        <v>5429</v>
      </c>
      <c r="B12" s="71" t="s">
        <v>5430</v>
      </c>
    </row>
    <row customHeight="1" ht="11.25">
      <c r="A13" s="71" t="s">
        <v>5431</v>
      </c>
      <c r="B13" s="71" t="s">
        <v>5432</v>
      </c>
    </row>
    <row customHeight="1" ht="11.25">
      <c r="A14" s="71" t="s">
        <v>5433</v>
      </c>
      <c r="B14" s="71" t="s">
        <v>5434</v>
      </c>
    </row>
    <row customHeight="1" ht="11.25">
      <c r="A15" s="71" t="s">
        <v>5435</v>
      </c>
      <c r="B15" s="71" t="s">
        <v>5436</v>
      </c>
    </row>
    <row customHeight="1" ht="11.25">
      <c r="A16" s="71" t="s">
        <v>5437</v>
      </c>
      <c r="B16" s="71" t="s">
        <v>5438</v>
      </c>
    </row>
    <row customHeight="1" ht="11.25">
      <c r="A17" s="71" t="s">
        <v>5439</v>
      </c>
      <c r="B17" s="71" t="s">
        <v>5440</v>
      </c>
    </row>
    <row customHeight="1" ht="11.25">
      <c r="A18" s="71" t="s">
        <v>5441</v>
      </c>
      <c r="B18" s="71" t="s">
        <v>5442</v>
      </c>
    </row>
    <row customHeight="1" ht="11.25">
      <c r="A19" s="71" t="s">
        <v>5443</v>
      </c>
      <c r="B19" s="71" t="s">
        <v>5444</v>
      </c>
    </row>
    <row customHeight="1" ht="11.25">
      <c r="A20" s="71" t="s">
        <v>5445</v>
      </c>
      <c r="B20" s="71" t="s">
        <v>5446</v>
      </c>
    </row>
    <row customHeight="1" ht="11.25">
      <c r="A21" s="71" t="s">
        <v>5447</v>
      </c>
      <c r="B21" s="71" t="s">
        <v>5448</v>
      </c>
    </row>
    <row customHeight="1" ht="11.25">
      <c r="A22" s="71" t="s">
        <v>5449</v>
      </c>
      <c r="B22" s="71" t="s">
        <v>5450</v>
      </c>
    </row>
    <row customHeight="1" ht="11.25">
      <c r="A23" s="71" t="s">
        <v>5451</v>
      </c>
      <c r="B23" s="71" t="s">
        <v>5452</v>
      </c>
    </row>
    <row customHeight="1" ht="11.25">
      <c r="A24" s="71" t="s">
        <v>5453</v>
      </c>
      <c r="B24" s="71" t="s">
        <v>5454</v>
      </c>
    </row>
    <row customHeight="1" ht="11.25">
      <c r="A25" s="71" t="s">
        <v>5455</v>
      </c>
      <c r="B25" s="71" t="s">
        <v>5456</v>
      </c>
    </row>
    <row customHeight="1" ht="11.25">
      <c r="A26" s="71" t="s">
        <v>5457</v>
      </c>
      <c r="B26" s="71" t="s">
        <v>5458</v>
      </c>
    </row>
    <row customHeight="1" ht="11.25">
      <c r="A27" s="71" t="s">
        <v>5459</v>
      </c>
      <c r="B27" s="71" t="s">
        <v>5460</v>
      </c>
    </row>
    <row customHeight="1" ht="11.25">
      <c r="A28" s="71" t="s">
        <v>5461</v>
      </c>
      <c r="B28" s="71" t="s">
        <v>5462</v>
      </c>
    </row>
    <row customHeight="1" ht="11.25">
      <c r="A29" s="71" t="s">
        <v>5463</v>
      </c>
      <c r="B29" s="71" t="s">
        <v>5464</v>
      </c>
    </row>
    <row customHeight="1" ht="11.25">
      <c r="A30" s="71" t="s">
        <v>5465</v>
      </c>
      <c r="B30" s="71" t="s">
        <v>5466</v>
      </c>
    </row>
    <row customHeight="1" ht="11.25">
      <c r="A31" s="71" t="s">
        <v>5467</v>
      </c>
      <c r="B31" s="71" t="s">
        <v>5468</v>
      </c>
    </row>
    <row customHeight="1" ht="11.25">
      <c r="A32" s="71" t="s">
        <v>5469</v>
      </c>
      <c r="B32" s="71" t="s">
        <v>5470</v>
      </c>
    </row>
    <row customHeight="1" ht="11.25">
      <c r="A33" s="71" t="s">
        <v>5471</v>
      </c>
      <c r="B33" s="71" t="s">
        <v>5472</v>
      </c>
    </row>
    <row customHeight="1" ht="11.25">
      <c r="A34" s="71" t="s">
        <v>5473</v>
      </c>
      <c r="B34" s="71" t="s">
        <v>5474</v>
      </c>
    </row>
    <row customHeight="1" ht="11.25">
      <c r="A35" s="71" t="s">
        <v>5475</v>
      </c>
      <c r="B35" s="71" t="s">
        <v>5476</v>
      </c>
    </row>
    <row customHeight="1" ht="11.25">
      <c r="A36" s="71" t="s">
        <v>5477</v>
      </c>
      <c r="B36" s="71" t="s">
        <v>5478</v>
      </c>
    </row>
    <row customHeight="1" ht="11.25">
      <c r="A37" s="71" t="s">
        <v>5479</v>
      </c>
      <c r="B37" s="71" t="s">
        <v>5480</v>
      </c>
    </row>
    <row customHeight="1" ht="11.25">
      <c r="A38" s="71" t="s">
        <v>5481</v>
      </c>
      <c r="B38" s="71" t="s">
        <v>5482</v>
      </c>
    </row>
    <row customHeight="1" ht="11.25">
      <c r="A39" s="71" t="s">
        <v>5483</v>
      </c>
      <c r="B39" s="71" t="s">
        <v>5484</v>
      </c>
    </row>
    <row customHeight="1" ht="11.25">
      <c r="A40" s="71" t="s">
        <v>5485</v>
      </c>
      <c r="B40" s="71" t="s">
        <v>5486</v>
      </c>
    </row>
    <row customHeight="1" ht="11.25">
      <c r="A41" s="71" t="s">
        <v>5487</v>
      </c>
      <c r="B41" s="71" t="s">
        <v>5488</v>
      </c>
    </row>
    <row customHeight="1" ht="11.25">
      <c r="A42" s="71" t="s">
        <v>5489</v>
      </c>
      <c r="B42" s="71" t="s">
        <v>5490</v>
      </c>
    </row>
    <row customHeight="1" ht="11.25">
      <c r="A43" s="71" t="s">
        <v>5491</v>
      </c>
      <c r="B43" s="71" t="s">
        <v>5492</v>
      </c>
    </row>
    <row customHeight="1" ht="11.25">
      <c r="A44" s="71" t="s">
        <v>5493</v>
      </c>
      <c r="B44" s="71" t="s">
        <v>5494</v>
      </c>
    </row>
    <row customHeight="1" ht="11.25">
      <c r="A45" s="71" t="s">
        <v>5495</v>
      </c>
      <c r="B45" s="71" t="s">
        <v>5496</v>
      </c>
    </row>
    <row customHeight="1" ht="11.25">
      <c r="A46" s="71" t="s">
        <v>5497</v>
      </c>
      <c r="B46" s="71" t="s">
        <v>5498</v>
      </c>
    </row>
    <row customHeight="1" ht="11.25">
      <c r="A47" s="71" t="s">
        <v>5499</v>
      </c>
      <c r="B47" s="71" t="s">
        <v>5500</v>
      </c>
    </row>
    <row customHeight="1" ht="11.25">
      <c r="A48" s="71" t="s">
        <v>5501</v>
      </c>
      <c r="B48" s="71" t="s">
        <v>5502</v>
      </c>
    </row>
    <row customHeight="1" ht="11.25">
      <c r="A49" s="71" t="s">
        <v>5503</v>
      </c>
      <c r="B49" s="71" t="s">
        <v>5504</v>
      </c>
    </row>
    <row customHeight="1" ht="11.25">
      <c r="A50" s="71" t="s">
        <v>5505</v>
      </c>
      <c r="B50" s="71" t="s">
        <v>5506</v>
      </c>
    </row>
    <row customHeight="1" ht="11.25">
      <c r="A51" s="71" t="s">
        <v>5507</v>
      </c>
      <c r="B51" s="71" t="s">
        <v>5508</v>
      </c>
    </row>
    <row customHeight="1" ht="11.25">
      <c r="A52" s="71" t="s">
        <v>5509</v>
      </c>
      <c r="B52" s="71" t="s">
        <v>5510</v>
      </c>
    </row>
    <row customHeight="1" ht="11.25">
      <c r="A53" s="71" t="s">
        <v>5511</v>
      </c>
      <c r="B53" s="71" t="s">
        <v>5512</v>
      </c>
    </row>
    <row customHeight="1" ht="11.25">
      <c r="A54" s="71" t="s">
        <v>5513</v>
      </c>
      <c r="B54" s="71" t="s">
        <v>5514</v>
      </c>
    </row>
    <row customHeight="1" ht="11.25">
      <c r="A55" s="71" t="s">
        <v>5515</v>
      </c>
      <c r="B55" s="71" t="s">
        <v>5516</v>
      </c>
    </row>
    <row customHeight="1" ht="11.25">
      <c r="A56" s="71" t="s">
        <v>5517</v>
      </c>
      <c r="B56" s="71" t="s">
        <v>5518</v>
      </c>
    </row>
    <row customHeight="1" ht="11.25">
      <c r="A57" s="71" t="s">
        <v>5519</v>
      </c>
      <c r="B57" s="71" t="s">
        <v>5520</v>
      </c>
    </row>
    <row customHeight="1" ht="11.25">
      <c r="A58" s="71" t="s">
        <v>5521</v>
      </c>
      <c r="B58" s="71" t="s">
        <v>5522</v>
      </c>
    </row>
    <row customHeight="1" ht="11.25">
      <c r="A59" s="71" t="s">
        <v>5523</v>
      </c>
      <c r="B59" s="71" t="s">
        <v>5524</v>
      </c>
    </row>
    <row customHeight="1" ht="11.25">
      <c r="A60" s="71" t="s">
        <v>5525</v>
      </c>
      <c r="B60" s="71" t="s">
        <v>5526</v>
      </c>
    </row>
    <row customHeight="1" ht="11.25">
      <c r="A61" s="71"/>
      <c r="B61" s="71" t="s">
        <v>5527</v>
      </c>
    </row>
    <row customHeight="1" ht="11.25">
      <c r="A62" s="71"/>
      <c r="B62" s="71" t="s">
        <v>5528</v>
      </c>
    </row>
    <row customHeight="1" ht="11.25">
      <c r="A63" s="71"/>
      <c r="B63" s="71" t="s">
        <v>5529</v>
      </c>
    </row>
    <row customHeight="1" ht="11.25">
      <c r="A64" s="71"/>
      <c r="B64" s="71" t="s">
        <v>5530</v>
      </c>
    </row>
    <row customHeight="1" ht="11.25">
      <c r="A65" s="71"/>
      <c r="B65" s="71" t="s">
        <v>5531</v>
      </c>
    </row>
    <row customHeight="1" ht="11.25">
      <c r="A66" s="71"/>
      <c r="B66" s="71" t="s">
        <v>5532</v>
      </c>
    </row>
    <row customHeight="1" ht="11.25">
      <c r="A67" s="71"/>
      <c r="B67" s="71" t="s">
        <v>5533</v>
      </c>
    </row>
    <row customHeight="1" ht="11.25">
      <c r="A68" s="71"/>
      <c r="B68" s="71" t="s">
        <v>5534</v>
      </c>
    </row>
    <row customHeight="1" ht="11.25">
      <c r="A69" s="71"/>
      <c r="B69" s="71" t="s">
        <v>5535</v>
      </c>
    </row>
    <row customHeight="1" ht="11.25">
      <c r="A70" s="71"/>
      <c r="B70" s="71" t="s">
        <v>5536</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9F0DC-13F7-3B59-3F8C-9A996DAE8E7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5537</v>
      </c>
    </row>
    <row customHeight="1" ht="90">
      <c r="B2" s="101" t="s">
        <v>5538</v>
      </c>
    </row>
    <row customHeight="1" ht="67.5">
      <c r="B3" s="101" t="s">
        <v>5539</v>
      </c>
    </row>
    <row customHeight="1" ht="33.75">
      <c r="B4" s="101" t="s">
        <v>5540</v>
      </c>
    </row>
    <row customHeight="1" ht="11.25">
      <c r="B5" s="101" t="s">
        <v>5541</v>
      </c>
    </row>
    <row customHeight="1" ht="22.5">
      <c r="B6" s="101" t="s">
        <v>5542</v>
      </c>
    </row>
    <row customHeight="1" ht="22.5">
      <c r="B7" s="101" t="s">
        <v>5543</v>
      </c>
    </row>
    <row customHeight="1" ht="22.5">
      <c r="B8" s="101" t="s">
        <v>5544</v>
      </c>
    </row>
    <row customHeight="1" ht="22.5">
      <c r="B9" s="101" t="s">
        <v>5545</v>
      </c>
    </row>
    <row customHeight="1" ht="56.25">
      <c r="B10" s="101" t="s">
        <v>5546</v>
      </c>
    </row>
    <row customHeight="1" ht="12.75">
      <c r="B11" s="166" t="s">
        <v>5547</v>
      </c>
    </row>
    <row customHeight="1" ht="11.25">
      <c r="B12" s="100" t="s">
        <v>5548</v>
      </c>
    </row>
    <row customHeight="1" ht="22.5">
      <c r="B13" s="101" t="s">
        <v>5549</v>
      </c>
    </row>
    <row customHeight="1" ht="67.5">
      <c r="B14" s="101" t="s">
        <v>5550</v>
      </c>
    </row>
    <row customHeight="1" ht="22.5">
      <c r="B15" s="101" t="s">
        <v>5551</v>
      </c>
    </row>
    <row customHeight="1" ht="11.25">
      <c r="B16" s="100" t="s">
        <v>5552</v>
      </c>
      <c r="D16" s="107"/>
    </row>
    <row customHeight="1" ht="33.75">
      <c r="B17" s="101" t="s">
        <v>5553</v>
      </c>
    </row>
    <row customHeight="1" ht="33.75">
      <c r="B18" s="101" t="s">
        <v>5554</v>
      </c>
    </row>
    <row customHeight="1" ht="11.25">
      <c r="B19" s="101" t="s">
        <v>5555</v>
      </c>
    </row>
    <row customHeight="1" ht="33.75">
      <c r="B20" s="101" t="s">
        <v>5556</v>
      </c>
    </row>
    <row customHeight="1" ht="11.25">
      <c r="B21" s="100" t="s">
        <v>5557</v>
      </c>
    </row>
    <row customHeight="1" ht="11.25">
      <c r="B22" s="101" t="s">
        <v>5558</v>
      </c>
    </row>
    <row r="24" customHeight="1" ht="22.5">
      <c r="B24" s="168" t="s">
        <v>5559</v>
      </c>
    </row>
    <row r="26" customHeight="1" ht="11.25">
      <c r="B26" s="100" t="s">
        <v>5560</v>
      </c>
    </row>
    <row customHeight="1" ht="22.5">
      <c r="B27" s="167" t="s">
        <v>395</v>
      </c>
    </row>
    <row customHeight="1" ht="56.25">
      <c r="B28" s="167" t="s">
        <v>5561</v>
      </c>
    </row>
    <row customHeight="1" ht="11.25">
      <c r="B29" s="217" t="s">
        <v>5562</v>
      </c>
    </row>
    <row customHeight="1" ht="22.5">
      <c r="B30" s="167" t="s">
        <v>5563</v>
      </c>
    </row>
    <row r="32" customHeight="1" ht="11.25">
      <c r="A32" s="195"/>
      <c r="B32" s="196" t="s">
        <v>5564</v>
      </c>
    </row>
    <row customHeight="1" ht="14.25">
      <c r="A33" s="197">
        <v>1</v>
      </c>
      <c r="B33" s="198" t="s">
        <v>5565</v>
      </c>
    </row>
    <row customHeight="1" ht="14.25">
      <c r="A34" s="197">
        <v>2</v>
      </c>
      <c r="B34" s="198" t="s">
        <v>5566</v>
      </c>
    </row>
    <row customHeight="1" ht="11.25">
      <c r="B35" s="196" t="s">
        <v>5567</v>
      </c>
    </row>
    <row customHeight="1" ht="11.25">
      <c r="B36" s="198" t="s">
        <v>5568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188E3-E458-061D-ACB8-F8AFACB41A4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43" t="s">
        <v>351</v>
      </c>
      <c r="I1" s="2243"/>
      <c r="V1" s="1614" t="s">
        <v>14</v>
      </c>
    </row>
    <row s="1642" customFormat="1" customHeight="1" ht="14.25" hidden="1">
      <c r="C2" s="1626"/>
      <c r="D2" s="2259" t="s">
        <v>109</v>
      </c>
      <c r="E2" s="2261"/>
      <c r="F2" s="1632"/>
      <c r="G2" s="1627" t="s">
        <v>109</v>
      </c>
      <c r="H2" s="1630"/>
      <c r="I2" s="1628"/>
      <c r="L2" s="1629"/>
      <c r="M2" s="1629"/>
      <c r="N2" s="1629"/>
      <c r="O2" s="1629" t="s">
        <v>381</v>
      </c>
      <c r="P2" s="1629"/>
      <c r="Q2" s="1629"/>
      <c r="R2" s="1631" t="s">
        <v>380</v>
      </c>
      <c r="S2" s="1631" t="s">
        <v>380</v>
      </c>
      <c r="T2" s="1629"/>
      <c r="U2" s="1629"/>
      <c r="V2" s="1625">
        <v>0</v>
      </c>
    </row>
    <row s="1642" customFormat="1" customHeight="1" ht="14.25" hidden="1">
      <c r="C3" s="1626"/>
      <c r="D3" s="2260"/>
      <c r="E3" s="2262"/>
      <c r="F3" s="412"/>
      <c r="G3" s="876"/>
      <c r="H3" s="876" t="s">
        <v>382</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355</v>
      </c>
      <c r="I5" s="709"/>
      <c r="J5" s="709"/>
      <c r="L5" s="1621"/>
      <c r="M5" s="1621"/>
      <c r="N5" s="1621"/>
      <c r="O5" s="1621"/>
      <c r="P5" s="1621"/>
      <c r="Q5" s="1621"/>
      <c r="R5" s="1621"/>
      <c r="S5" s="1621"/>
      <c r="T5" s="1621"/>
      <c r="U5" s="1621"/>
      <c r="V5" s="1620">
        <v>5</v>
      </c>
    </row>
    <row customHeight="1" ht="29.25">
      <c r="C6" s="1523"/>
      <c r="D6" s="2263" t="s">
        <v>383</v>
      </c>
      <c r="E6" s="2263"/>
      <c r="F6" s="2263"/>
      <c r="G6" s="2263"/>
      <c r="H6" s="2263"/>
      <c r="I6" s="2263"/>
      <c r="J6" s="498"/>
      <c r="K6" s="1622"/>
      <c r="V6" s="1614">
        <v>28</v>
      </c>
    </row>
    <row customHeight="1" ht="18">
      <c r="C7" s="1523"/>
      <c r="D7" s="2202" t="str">
        <f>IF(org=0,"Не определено",org)</f>
        <v>Общество с ограниченной ответственностью "Сигнал", г. Серов</v>
      </c>
      <c r="E7" s="2202"/>
      <c r="F7" s="2202"/>
      <c r="G7" s="2202"/>
      <c r="H7" s="2202"/>
      <c r="I7" s="2202"/>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44" t="s">
        <v>299</v>
      </c>
      <c r="E10" s="2245"/>
      <c r="F10" s="2245"/>
      <c r="G10" s="2245"/>
      <c r="H10" s="2245"/>
      <c r="I10" s="2245"/>
      <c r="J10" s="2249" t="s">
        <v>300</v>
      </c>
      <c r="V10" s="1614">
        <v>14</v>
      </c>
    </row>
    <row customHeight="1" ht="27.299999999999997">
      <c r="C11" s="1523"/>
      <c r="D11" s="2153" t="s">
        <v>88</v>
      </c>
      <c r="E11" s="2249" t="s">
        <v>105</v>
      </c>
      <c r="F11" s="2218" t="s">
        <v>88</v>
      </c>
      <c r="G11" s="2219"/>
      <c r="H11" s="2201" t="s">
        <v>384</v>
      </c>
      <c r="I11" s="2201" t="s">
        <v>385</v>
      </c>
      <c r="J11" s="2249"/>
      <c r="V11" s="1614">
        <v>26</v>
      </c>
    </row>
    <row customHeight="1" ht="14.699999999999998">
      <c r="C12" s="1523"/>
      <c r="D12" s="2153"/>
      <c r="E12" s="2249"/>
      <c r="F12" s="2226"/>
      <c r="G12" s="2227"/>
      <c r="H12" s="2258"/>
      <c r="I12" s="2258"/>
      <c r="J12" s="2249"/>
      <c r="V12" s="1614">
        <v>14</v>
      </c>
    </row>
    <row s="1648" customFormat="1" customHeight="1" ht="11.25" hidden="1">
      <c r="C13" s="505"/>
      <c r="D13" s="506" t="s">
        <v>375</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9" t="s">
        <v>109</v>
      </c>
      <c r="E14" s="2261"/>
      <c r="F14" s="1624"/>
      <c r="G14" s="1623" t="s">
        <v>109</v>
      </c>
      <c r="H14" s="1630"/>
      <c r="I14" s="1628"/>
      <c r="J14" s="2195" t="s">
        <v>386</v>
      </c>
      <c r="K14" s="1614"/>
      <c r="R14" s="507" t="s">
        <v>380</v>
      </c>
      <c r="S14" s="507" t="s">
        <v>380</v>
      </c>
      <c r="V14" s="1614">
        <v>14</v>
      </c>
    </row>
    <row customHeight="1" ht="14.699999999999998">
      <c r="A15" s="1614"/>
      <c r="C15" s="1523"/>
      <c r="D15" s="2260"/>
      <c r="E15" s="2262"/>
      <c r="F15" s="412"/>
      <c r="G15" s="876"/>
      <c r="H15" s="876" t="s">
        <v>382</v>
      </c>
      <c r="I15" s="320"/>
      <c r="J15" s="2196"/>
      <c r="K15" s="1614"/>
      <c r="R15" s="507"/>
      <c r="S15" s="507"/>
      <c r="V15" s="1614">
        <v>14</v>
      </c>
    </row>
    <row customHeight="1" ht="14.699999999999998">
      <c r="A16" s="1614"/>
      <c r="C16" s="1523"/>
      <c r="D16" s="412"/>
      <c r="E16" s="876" t="s">
        <v>122</v>
      </c>
      <c r="F16" s="320"/>
      <c r="G16" s="320"/>
      <c r="H16" s="413"/>
      <c r="I16" s="413"/>
      <c r="J16" s="2197"/>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